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fficial Page" sheetId="1" r:id="rId4"/>
    <sheet state="visible" name="Demo" sheetId="2" r:id="rId5"/>
    <sheet state="visible" name="WARIP (Correction) testing" sheetId="3" r:id="rId6"/>
    <sheet state="visible" name="Correction and Leverage testing" sheetId="4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E54">
      <text>
        <t xml:space="preserve">really disappointing to get this great of a difference
	-Westboys</t>
      </text>
    </comment>
    <comment authorId="0" ref="J42">
      <text>
        <t xml:space="preserve">NOTE THAT WE'RE COPYING FANGRAPHS AND THIS IS WRONG
	-Westboys
Putting in 100, we get WAR = 3.5
	-Westboys</t>
      </text>
    </comment>
  </commentList>
</comments>
</file>

<file path=xl/sharedStrings.xml><?xml version="1.0" encoding="utf-8"?>
<sst xmlns="http://schemas.openxmlformats.org/spreadsheetml/2006/main" count="1697" uniqueCount="97">
  <si>
    <t>Name</t>
  </si>
  <si>
    <t>Year</t>
  </si>
  <si>
    <t>MLB ERA</t>
  </si>
  <si>
    <t>MLB HR</t>
  </si>
  <si>
    <t>MLB BB</t>
  </si>
  <si>
    <t>MLB HBP</t>
  </si>
  <si>
    <t>MLB K</t>
  </si>
  <si>
    <t>MLB IFFB</t>
  </si>
  <si>
    <t>MLB IP</t>
  </si>
  <si>
    <t>MLB RA9</t>
  </si>
  <si>
    <t>P WAR</t>
  </si>
  <si>
    <t>ifFIP Constant</t>
  </si>
  <si>
    <t>ifFIP</t>
  </si>
  <si>
    <t>Adjustment</t>
  </si>
  <si>
    <t>FIPR9</t>
  </si>
  <si>
    <t>pFIPR9</t>
  </si>
  <si>
    <t>lg ifFIP</t>
  </si>
  <si>
    <t>lg FIPR9</t>
  </si>
  <si>
    <t>RAAP9</t>
  </si>
  <si>
    <t>dRPW</t>
  </si>
  <si>
    <t>WPGAA</t>
  </si>
  <si>
    <t>Replacement Level</t>
  </si>
  <si>
    <t>WPGAR</t>
  </si>
  <si>
    <t>"WAR"</t>
  </si>
  <si>
    <t>Correction</t>
  </si>
  <si>
    <t>WAR</t>
  </si>
  <si>
    <t>Difference</t>
  </si>
  <si>
    <t>Kevin West</t>
  </si>
  <si>
    <t>NL, 2023</t>
  </si>
  <si>
    <t>P HR</t>
  </si>
  <si>
    <t>P BB</t>
  </si>
  <si>
    <t>B HBP</t>
  </si>
  <si>
    <t>P K</t>
  </si>
  <si>
    <t>P IFFB</t>
  </si>
  <si>
    <t>P IP</t>
  </si>
  <si>
    <t>P PF</t>
  </si>
  <si>
    <t>P G</t>
  </si>
  <si>
    <t>P GS</t>
  </si>
  <si>
    <t>P isStarter</t>
  </si>
  <si>
    <t>P gmLI</t>
  </si>
  <si>
    <t>YES</t>
  </si>
  <si>
    <t>LG HR</t>
  </si>
  <si>
    <t>LG BB</t>
  </si>
  <si>
    <t>LG HBP</t>
  </si>
  <si>
    <t>LG K</t>
  </si>
  <si>
    <t>LG IFFB</t>
  </si>
  <si>
    <t>LG IP</t>
  </si>
  <si>
    <t>Marcus Stroman</t>
  </si>
  <si>
    <t>Rick Porcello</t>
  </si>
  <si>
    <t>Madison Bumgarner</t>
  </si>
  <si>
    <t>Tim Lincecum</t>
  </si>
  <si>
    <t>Logan Webb</t>
  </si>
  <si>
    <t>Blake Snell</t>
  </si>
  <si>
    <t>Gerrit Cole</t>
  </si>
  <si>
    <t>Kevin Gausman</t>
  </si>
  <si>
    <t>Sandy Alcantara</t>
  </si>
  <si>
    <t>Justin Verlander</t>
  </si>
  <si>
    <t>Corbin Burnes</t>
  </si>
  <si>
    <t>Robbie Ray</t>
  </si>
  <si>
    <t>Tyler Rogers</t>
  </si>
  <si>
    <t>NO</t>
  </si>
  <si>
    <t>AL ifFIP</t>
  </si>
  <si>
    <t>AL FIPR9</t>
  </si>
  <si>
    <t>P HBP</t>
  </si>
  <si>
    <t>AL HR</t>
  </si>
  <si>
    <t>AL BB</t>
  </si>
  <si>
    <t>AL HBP</t>
  </si>
  <si>
    <t>AL K</t>
  </si>
  <si>
    <t>AL IFFB</t>
  </si>
  <si>
    <t>AL IP</t>
  </si>
  <si>
    <t>Correction 1</t>
  </si>
  <si>
    <t>Correction 2</t>
  </si>
  <si>
    <t>Correction 3</t>
  </si>
  <si>
    <t>WAR 1</t>
  </si>
  <si>
    <t>WAR 2</t>
  </si>
  <si>
    <t>WAR 3</t>
  </si>
  <si>
    <t>Difference 1</t>
  </si>
  <si>
    <t>Difference 2</t>
  </si>
  <si>
    <t>Difference 3</t>
  </si>
  <si>
    <t>Avg</t>
  </si>
  <si>
    <t>LG ifFIP</t>
  </si>
  <si>
    <t>LG FIPR9</t>
  </si>
  <si>
    <t>pWAR</t>
  </si>
  <si>
    <t>LI index multiplier</t>
  </si>
  <si>
    <t>WAR Correction</t>
  </si>
  <si>
    <t xml:space="preserve">WAR 2 </t>
  </si>
  <si>
    <t>WAR 4</t>
  </si>
  <si>
    <t>fWAR</t>
  </si>
  <si>
    <t>Difference 4</t>
  </si>
  <si>
    <t>Avg diff</t>
  </si>
  <si>
    <t>LG ERA</t>
  </si>
  <si>
    <t>WAR 1 = YES LEVERAGE YES CORRECTION</t>
  </si>
  <si>
    <t>WAR 2 = YES LEVERAGE NO CORRECTION</t>
  </si>
  <si>
    <t>WAR 3 = NO LEVERAGE YES CORRECTION (OFFICIAL FANGRAPHS METHOD)</t>
  </si>
  <si>
    <t>WAR 4 = NO LEVERAGE NO CORRECTION</t>
  </si>
  <si>
    <t>NL Sample</t>
  </si>
  <si>
    <t>AVG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</si>
</sst>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sz val="12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FFFF00"/>
        <bgColor rgb="FFFFFF00"/>
      </patternFill>
    </fill>
    <fill>
      <patternFill patternType="solid">
        <fgColor rgb="FFF6B26B"/>
        <bgColor rgb="FFF6B26B"/>
      </patternFill>
    </fill>
    <fill>
      <patternFill patternType="solid">
        <fgColor rgb="FFA4C2F4"/>
        <bgColor rgb="FFA4C2F4"/>
      </patternFill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2" fontId="1" numFmtId="0" xfId="0" applyAlignment="1" applyFill="1" applyFont="1">
      <alignment vertical="bottom"/>
    </xf>
    <xf borderId="0" fillId="0" fontId="1" numFmtId="0" xfId="0" applyAlignment="1" applyFont="1">
      <alignment vertical="bottom"/>
    </xf>
    <xf borderId="0" fillId="3" fontId="1" numFmtId="0" xfId="0" applyAlignment="1" applyFill="1" applyFont="1">
      <alignment vertical="bottom"/>
    </xf>
    <xf borderId="0" fillId="0" fontId="2" numFmtId="0" xfId="0" applyAlignment="1" applyFont="1">
      <alignment readingOrder="0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horizontal="right" readingOrder="0" vertical="bottom"/>
    </xf>
    <xf borderId="0" fillId="0" fontId="1" numFmtId="0" xfId="0" applyAlignment="1" applyFont="1">
      <alignment horizontal="right" vertical="bottom"/>
    </xf>
    <xf borderId="0" fillId="0" fontId="2" numFmtId="0" xfId="0" applyFont="1"/>
    <xf borderId="0" fillId="4" fontId="1" numFmtId="0" xfId="0" applyAlignment="1" applyFill="1" applyFont="1">
      <alignment vertical="bottom"/>
    </xf>
    <xf borderId="0" fillId="4" fontId="1" numFmtId="0" xfId="0" applyAlignment="1" applyFont="1">
      <alignment vertical="bottom"/>
    </xf>
    <xf borderId="0" fillId="3" fontId="1" numFmtId="0" xfId="0" applyAlignment="1" applyFont="1">
      <alignment horizontal="right" vertical="bottom"/>
    </xf>
    <xf borderId="0" fillId="0" fontId="1" numFmtId="0" xfId="0" applyAlignment="1" applyFont="1">
      <alignment horizontal="right" vertical="bottom"/>
    </xf>
    <xf borderId="0" fillId="5" fontId="1" numFmtId="0" xfId="0" applyAlignment="1" applyFill="1" applyFont="1">
      <alignment vertical="bottom"/>
    </xf>
    <xf borderId="0" fillId="3" fontId="2" numFmtId="0" xfId="0" applyAlignment="1" applyFont="1">
      <alignment readingOrder="0"/>
    </xf>
    <xf borderId="0" fillId="4" fontId="2" numFmtId="0" xfId="0" applyAlignment="1" applyFont="1">
      <alignment readingOrder="0"/>
    </xf>
    <xf borderId="0" fillId="4" fontId="1" numFmtId="0" xfId="0" applyAlignment="1" applyFont="1">
      <alignment readingOrder="0" vertical="bottom"/>
    </xf>
    <xf borderId="0" fillId="2" fontId="1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0" fillId="5" fontId="1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/>
      <c r="L1" s="4" t="s">
        <v>10</v>
      </c>
      <c r="M1" s="1"/>
      <c r="N1" s="1"/>
      <c r="O1" s="5"/>
      <c r="P1" s="5" t="s">
        <v>11</v>
      </c>
      <c r="Q1" s="5" t="s">
        <v>12</v>
      </c>
      <c r="R1" s="5" t="s">
        <v>13</v>
      </c>
      <c r="S1" s="5" t="s">
        <v>14</v>
      </c>
      <c r="T1" s="5" t="s">
        <v>15</v>
      </c>
      <c r="U1" s="5" t="s">
        <v>16</v>
      </c>
      <c r="V1" s="5" t="s">
        <v>17</v>
      </c>
      <c r="W1" s="5" t="s">
        <v>18</v>
      </c>
      <c r="X1" s="5" t="s">
        <v>19</v>
      </c>
      <c r="Y1" s="5" t="s">
        <v>20</v>
      </c>
      <c r="Z1" s="5" t="s">
        <v>21</v>
      </c>
      <c r="AA1" s="5" t="s">
        <v>22</v>
      </c>
      <c r="AB1" s="5" t="s">
        <v>23</v>
      </c>
      <c r="AC1" s="5" t="s">
        <v>24</v>
      </c>
      <c r="AD1" s="5" t="s">
        <v>25</v>
      </c>
      <c r="AE1" s="5" t="s">
        <v>26</v>
      </c>
    </row>
    <row r="2">
      <c r="A2" s="6" t="s">
        <v>27</v>
      </c>
      <c r="B2" s="7" t="s">
        <v>28</v>
      </c>
      <c r="C2" s="5">
        <v>4.33</v>
      </c>
      <c r="D2" s="5">
        <v>5868.0</v>
      </c>
      <c r="E2" s="5">
        <v>15819.0</v>
      </c>
      <c r="F2" s="5">
        <v>2112.0</v>
      </c>
      <c r="G2" s="5">
        <v>41843.0</v>
      </c>
      <c r="H2" s="5">
        <v>4542.0</v>
      </c>
      <c r="I2" s="5">
        <v>43087.333</v>
      </c>
      <c r="J2" s="5">
        <v>4.69</v>
      </c>
      <c r="K2" s="3"/>
      <c r="L2" s="8"/>
      <c r="M2" s="1"/>
      <c r="N2" s="1"/>
      <c r="O2" s="5"/>
      <c r="P2" s="9">
        <f>C2 - (((13*D2)+(3*(E2+F2))-(2*(G2+H2)))/I2)</f>
        <v>3.464153882</v>
      </c>
      <c r="Q2" s="9">
        <f>((13*D4)+(3*(E4+F4))-(2*(G4+H4)))/I4 + P2</f>
        <v>3.973244791</v>
      </c>
      <c r="R2" s="9">
        <f>J2-C2</f>
        <v>0.36</v>
      </c>
      <c r="S2" s="9">
        <f>Q2+R2</f>
        <v>4.333244791</v>
      </c>
      <c r="T2" s="9">
        <f>S2 / (J4/100)</f>
        <v>4.333244791</v>
      </c>
      <c r="U2" s="9">
        <f>((13*D6)+(3*(E6+F6))-(2*(G6+H6)))/I6 + P2</f>
        <v>4.380532551</v>
      </c>
      <c r="V2" s="9">
        <f>U2 + R2</f>
        <v>4.740532551</v>
      </c>
      <c r="W2" s="9">
        <f>V2-T2</f>
        <v>0.4072877592</v>
      </c>
      <c r="X2" s="9">
        <f>(((((18-I4/K4)*(V2))+((I4/K4)*T2))/18)+2)*1.5</f>
        <v>9.819121394</v>
      </c>
      <c r="Y2" s="9">
        <f>W2/X2</f>
        <v>0.04147904306</v>
      </c>
      <c r="Z2" s="9">
        <f>0.03*(1-L4/K4)+0.12*(L4/K4)</f>
        <v>0.12</v>
      </c>
      <c r="AA2" s="9">
        <f>Y2+Z2</f>
        <v>0.1614790431</v>
      </c>
      <c r="AB2" s="9">
        <f>AA2*(I4/9)</f>
        <v>4.934081871</v>
      </c>
      <c r="AC2" s="9">
        <f>-0.0007*I4</f>
        <v>-0.1925</v>
      </c>
      <c r="AD2" s="9">
        <f>IF(M4 = "NO", (AB2*((1+N4)/2) + AC2), AB2 + AC2)</f>
        <v>4.741581871</v>
      </c>
    </row>
    <row r="3">
      <c r="A3" s="1"/>
      <c r="B3" s="1"/>
      <c r="C3" s="1"/>
      <c r="D3" s="10" t="s">
        <v>29</v>
      </c>
      <c r="E3" s="10" t="s">
        <v>30</v>
      </c>
      <c r="F3" s="10" t="s">
        <v>31</v>
      </c>
      <c r="G3" s="10" t="s">
        <v>32</v>
      </c>
      <c r="H3" s="10" t="s">
        <v>33</v>
      </c>
      <c r="I3" s="10" t="s">
        <v>34</v>
      </c>
      <c r="J3" s="10" t="s">
        <v>35</v>
      </c>
      <c r="K3" s="11" t="s">
        <v>36</v>
      </c>
      <c r="L3" s="10" t="s">
        <v>37</v>
      </c>
      <c r="M3" s="10" t="s">
        <v>38</v>
      </c>
      <c r="N3" s="10" t="s">
        <v>39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>
      <c r="A4" s="1"/>
      <c r="B4" s="1"/>
      <c r="C4" s="1"/>
      <c r="D4" s="7">
        <v>90.0</v>
      </c>
      <c r="E4" s="7">
        <v>0.0</v>
      </c>
      <c r="F4" s="7">
        <v>0.0</v>
      </c>
      <c r="G4" s="7">
        <v>500.0</v>
      </c>
      <c r="H4" s="7">
        <v>15.0</v>
      </c>
      <c r="I4" s="7">
        <v>275.0</v>
      </c>
      <c r="J4" s="12">
        <v>100.0</v>
      </c>
      <c r="K4" s="13">
        <v>32.0</v>
      </c>
      <c r="L4" s="8">
        <v>32.0</v>
      </c>
      <c r="M4" s="1" t="s">
        <v>40</v>
      </c>
      <c r="N4" s="1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>
      <c r="A5" s="1"/>
      <c r="B5" s="1"/>
      <c r="C5" s="1"/>
      <c r="D5" s="14" t="s">
        <v>41</v>
      </c>
      <c r="E5" s="14" t="s">
        <v>42</v>
      </c>
      <c r="F5" s="14" t="s">
        <v>43</v>
      </c>
      <c r="G5" s="14" t="s">
        <v>44</v>
      </c>
      <c r="H5" s="14" t="s">
        <v>45</v>
      </c>
      <c r="I5" s="14" t="s">
        <v>46</v>
      </c>
      <c r="J5" s="1"/>
      <c r="K5" s="3"/>
      <c r="L5" s="1"/>
      <c r="M5" s="1"/>
      <c r="N5" s="1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>
      <c r="A6" s="1"/>
      <c r="B6" s="1"/>
      <c r="C6" s="1"/>
      <c r="D6" s="5">
        <v>2933.0</v>
      </c>
      <c r="E6" s="5">
        <v>7975.0</v>
      </c>
      <c r="F6" s="5">
        <v>1049.0</v>
      </c>
      <c r="G6" s="5">
        <v>20515.0</v>
      </c>
      <c r="H6" s="5">
        <v>2230.0</v>
      </c>
      <c r="I6" s="5">
        <v>21509.667</v>
      </c>
      <c r="J6" s="1"/>
      <c r="K6" s="3"/>
      <c r="L6" s="1"/>
      <c r="M6" s="1"/>
      <c r="N6" s="1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>
      <c r="A7" s="5"/>
      <c r="B7" s="5"/>
      <c r="C7" s="1"/>
      <c r="D7" s="1"/>
      <c r="E7" s="1"/>
      <c r="F7" s="1"/>
      <c r="G7" s="1"/>
      <c r="H7" s="1"/>
      <c r="I7" s="1"/>
      <c r="J7" s="1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>
      <c r="A8" s="5"/>
      <c r="B8" s="5"/>
      <c r="C8" s="1"/>
      <c r="D8" s="1"/>
      <c r="E8" s="1"/>
      <c r="F8" s="1"/>
      <c r="G8" s="1"/>
      <c r="H8" s="1"/>
      <c r="I8" s="1"/>
      <c r="J8" s="1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>
      <c r="A9" s="5"/>
      <c r="B9" s="5"/>
      <c r="C9" s="1"/>
      <c r="D9" s="1"/>
      <c r="E9" s="1"/>
      <c r="F9" s="1"/>
      <c r="G9" s="1"/>
      <c r="H9" s="1"/>
      <c r="I9" s="1"/>
      <c r="J9" s="1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>
      <c r="A10" s="5"/>
      <c r="B10" s="5"/>
      <c r="C10" s="1"/>
      <c r="D10" s="1"/>
      <c r="E10" s="1"/>
      <c r="F10" s="1"/>
      <c r="G10" s="1"/>
      <c r="H10" s="1"/>
      <c r="I10" s="1"/>
      <c r="J10" s="1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>
      <c r="A11" s="5"/>
      <c r="B11" s="5"/>
      <c r="C11" s="1"/>
      <c r="D11" s="1"/>
      <c r="E11" s="1"/>
      <c r="F11" s="1"/>
      <c r="G11" s="1"/>
      <c r="H11" s="1"/>
      <c r="I11" s="1"/>
      <c r="J11" s="1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>
      <c r="A12" s="5"/>
      <c r="B12" s="5"/>
      <c r="C12" s="1"/>
      <c r="D12" s="1"/>
      <c r="E12" s="1"/>
      <c r="F12" s="1"/>
      <c r="G12" s="1"/>
      <c r="H12" s="1"/>
      <c r="I12" s="1"/>
      <c r="J12" s="1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>
      <c r="A13" s="5"/>
      <c r="B13" s="5"/>
      <c r="C13" s="1"/>
      <c r="D13" s="1"/>
      <c r="E13" s="1"/>
      <c r="F13" s="1"/>
      <c r="G13" s="1"/>
      <c r="H13" s="1"/>
      <c r="I13" s="1"/>
      <c r="J13" s="1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>
      <c r="A14" s="5"/>
      <c r="B14" s="5"/>
      <c r="C14" s="1"/>
      <c r="D14" s="1"/>
      <c r="E14" s="1"/>
      <c r="F14" s="1"/>
      <c r="G14" s="1"/>
      <c r="H14" s="1"/>
      <c r="I14" s="1"/>
      <c r="J14" s="1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>
      <c r="A15" s="5"/>
      <c r="B15" s="5"/>
      <c r="C15" s="1"/>
      <c r="D15" s="1"/>
      <c r="E15" s="1"/>
      <c r="F15" s="1"/>
      <c r="G15" s="1"/>
      <c r="H15" s="1"/>
      <c r="I15" s="1"/>
      <c r="J15" s="1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>
      <c r="A16" s="5"/>
      <c r="B16" s="5"/>
      <c r="C16" s="1"/>
      <c r="D16" s="1"/>
      <c r="E16" s="1"/>
      <c r="F16" s="1"/>
      <c r="G16" s="1"/>
      <c r="H16" s="1"/>
      <c r="I16" s="1"/>
      <c r="J16" s="1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>
      <c r="A17" s="5"/>
      <c r="B17" s="5"/>
      <c r="C17" s="1"/>
      <c r="D17" s="1"/>
      <c r="E17" s="1"/>
      <c r="F17" s="1"/>
      <c r="G17" s="1"/>
      <c r="H17" s="1"/>
      <c r="I17" s="1"/>
      <c r="J17" s="1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>
      <c r="A18" s="5"/>
      <c r="B18" s="5"/>
      <c r="C18" s="1"/>
      <c r="D18" s="1"/>
      <c r="E18" s="1"/>
      <c r="F18" s="1"/>
      <c r="G18" s="1"/>
      <c r="H18" s="1"/>
      <c r="I18" s="1"/>
      <c r="J18" s="1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>
      <c r="A19" s="5"/>
      <c r="B19" s="5"/>
      <c r="C19" s="1"/>
      <c r="D19" s="1"/>
      <c r="E19" s="1"/>
      <c r="F19" s="1"/>
      <c r="G19" s="1"/>
      <c r="H19" s="1"/>
      <c r="I19" s="1"/>
      <c r="J19" s="1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>
      <c r="A20" s="5"/>
      <c r="B20" s="5"/>
      <c r="C20" s="1"/>
      <c r="D20" s="1"/>
      <c r="E20" s="1"/>
      <c r="F20" s="1"/>
      <c r="G20" s="1"/>
      <c r="H20" s="1"/>
      <c r="I20" s="1"/>
      <c r="J20" s="1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>
      <c r="A21" s="5"/>
      <c r="B21" s="5"/>
      <c r="C21" s="1"/>
      <c r="D21" s="1"/>
      <c r="E21" s="1"/>
      <c r="F21" s="1"/>
      <c r="G21" s="1"/>
      <c r="H21" s="1"/>
      <c r="I21" s="1"/>
      <c r="J21" s="1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>
      <c r="A22" s="5"/>
      <c r="B22" s="5"/>
      <c r="C22" s="1"/>
      <c r="D22" s="1"/>
      <c r="E22" s="1"/>
      <c r="F22" s="1"/>
      <c r="G22" s="1"/>
      <c r="H22" s="1"/>
      <c r="I22" s="1"/>
      <c r="J22" s="1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>
      <c r="A23" s="5"/>
      <c r="B23" s="5"/>
      <c r="C23" s="1"/>
      <c r="D23" s="1"/>
      <c r="E23" s="1"/>
      <c r="F23" s="1"/>
      <c r="G23" s="1"/>
      <c r="H23" s="1"/>
      <c r="I23" s="1"/>
      <c r="J23" s="1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>
      <c r="A24" s="5"/>
      <c r="B24" s="5"/>
      <c r="C24" s="1"/>
      <c r="D24" s="1"/>
      <c r="E24" s="1"/>
      <c r="F24" s="1"/>
      <c r="G24" s="1"/>
      <c r="H24" s="1"/>
      <c r="I24" s="1"/>
      <c r="J24" s="1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>
      <c r="A25" s="5"/>
      <c r="B25" s="5"/>
      <c r="C25" s="1"/>
      <c r="D25" s="1"/>
      <c r="E25" s="1"/>
      <c r="F25" s="1"/>
      <c r="G25" s="1"/>
      <c r="H25" s="1"/>
      <c r="I25" s="1"/>
      <c r="J25" s="1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>
      <c r="A26" s="5"/>
      <c r="B26" s="5"/>
      <c r="C26" s="1"/>
      <c r="D26" s="1"/>
      <c r="E26" s="1"/>
      <c r="F26" s="1"/>
      <c r="G26" s="1"/>
      <c r="H26" s="1"/>
      <c r="I26" s="1"/>
      <c r="J26" s="1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>
      <c r="A27" s="5"/>
      <c r="B27" s="5"/>
      <c r="C27" s="1"/>
      <c r="D27" s="1"/>
      <c r="E27" s="1"/>
      <c r="F27" s="1"/>
      <c r="G27" s="1"/>
      <c r="H27" s="1"/>
      <c r="I27" s="1"/>
      <c r="J27" s="1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>
      <c r="A28" s="5"/>
      <c r="B28" s="5"/>
      <c r="C28" s="1"/>
      <c r="D28" s="1"/>
      <c r="E28" s="1"/>
      <c r="F28" s="1"/>
      <c r="G28" s="1"/>
      <c r="H28" s="1"/>
      <c r="I28" s="1"/>
      <c r="J28" s="1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>
      <c r="A29" s="5"/>
      <c r="B29" s="5"/>
      <c r="C29" s="1"/>
      <c r="D29" s="1"/>
      <c r="E29" s="1"/>
      <c r="F29" s="1"/>
      <c r="G29" s="1"/>
      <c r="H29" s="1"/>
      <c r="I29" s="1"/>
      <c r="J29" s="1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>
      <c r="A30" s="5"/>
      <c r="B30" s="5"/>
      <c r="C30" s="1"/>
      <c r="D30" s="1"/>
      <c r="E30" s="1"/>
      <c r="F30" s="1"/>
      <c r="G30" s="1"/>
      <c r="H30" s="1"/>
      <c r="I30" s="1"/>
      <c r="J30" s="1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>
      <c r="A31" s="5"/>
      <c r="B31" s="5"/>
      <c r="C31" s="1"/>
      <c r="D31" s="1"/>
      <c r="E31" s="1"/>
      <c r="F31" s="1"/>
      <c r="G31" s="1"/>
      <c r="H31" s="1"/>
      <c r="I31" s="1"/>
      <c r="J31" s="1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>
      <c r="A32" s="5"/>
      <c r="B32" s="5"/>
      <c r="C32" s="1"/>
      <c r="D32" s="1"/>
      <c r="E32" s="1"/>
      <c r="F32" s="1"/>
      <c r="G32" s="1"/>
      <c r="H32" s="1"/>
      <c r="I32" s="1"/>
      <c r="J32" s="1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>
      <c r="A33" s="5"/>
      <c r="B33" s="5"/>
      <c r="C33" s="1"/>
      <c r="D33" s="1"/>
      <c r="E33" s="1"/>
      <c r="F33" s="1"/>
      <c r="G33" s="1"/>
      <c r="H33" s="1"/>
      <c r="I33" s="1"/>
      <c r="J33" s="1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>
      <c r="A34" s="5"/>
      <c r="B34" s="5"/>
      <c r="C34" s="1"/>
      <c r="D34" s="1"/>
      <c r="E34" s="1"/>
      <c r="F34" s="1"/>
      <c r="G34" s="1"/>
      <c r="H34" s="1"/>
      <c r="I34" s="1"/>
      <c r="J34" s="1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>
      <c r="A35" s="5"/>
      <c r="B35" s="5"/>
      <c r="C35" s="1"/>
      <c r="D35" s="1"/>
      <c r="E35" s="1"/>
      <c r="F35" s="1"/>
      <c r="G35" s="1"/>
      <c r="H35" s="1"/>
      <c r="I35" s="1"/>
      <c r="J35" s="1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>
      <c r="A36" s="5"/>
      <c r="B36" s="5"/>
      <c r="C36" s="1"/>
      <c r="D36" s="1"/>
      <c r="E36" s="1"/>
      <c r="F36" s="1"/>
      <c r="G36" s="1"/>
      <c r="H36" s="1"/>
      <c r="I36" s="1"/>
      <c r="J36" s="1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>
      <c r="A37" s="5"/>
      <c r="B37" s="5"/>
      <c r="C37" s="1"/>
      <c r="D37" s="1"/>
      <c r="E37" s="1"/>
      <c r="F37" s="1"/>
      <c r="G37" s="1"/>
      <c r="H37" s="1"/>
      <c r="I37" s="1"/>
      <c r="J37" s="1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>
      <c r="A38" s="5"/>
      <c r="B38" s="5"/>
      <c r="C38" s="1"/>
      <c r="D38" s="1"/>
      <c r="E38" s="1"/>
      <c r="F38" s="1"/>
      <c r="G38" s="1"/>
      <c r="H38" s="1"/>
      <c r="I38" s="1"/>
      <c r="J38" s="1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>
      <c r="A39" s="5" t="s">
        <v>0</v>
      </c>
      <c r="B39" s="5" t="s">
        <v>1</v>
      </c>
      <c r="C39" s="2" t="s">
        <v>2</v>
      </c>
      <c r="D39" s="2" t="s">
        <v>3</v>
      </c>
      <c r="E39" s="2" t="s">
        <v>4</v>
      </c>
      <c r="F39" s="2" t="s">
        <v>5</v>
      </c>
      <c r="G39" s="2" t="s">
        <v>6</v>
      </c>
      <c r="H39" s="2" t="s">
        <v>7</v>
      </c>
      <c r="I39" s="2" t="s">
        <v>8</v>
      </c>
      <c r="J39" s="2" t="s">
        <v>9</v>
      </c>
      <c r="L39" s="15" t="s">
        <v>10</v>
      </c>
      <c r="M39" s="5"/>
      <c r="N39" s="5"/>
      <c r="O39" s="5"/>
      <c r="P39" s="5" t="s">
        <v>11</v>
      </c>
      <c r="Q39" s="5" t="s">
        <v>12</v>
      </c>
      <c r="R39" s="5" t="s">
        <v>13</v>
      </c>
      <c r="S39" s="5" t="s">
        <v>14</v>
      </c>
      <c r="T39" s="5" t="s">
        <v>15</v>
      </c>
      <c r="U39" s="5" t="s">
        <v>16</v>
      </c>
      <c r="V39" s="5" t="s">
        <v>17</v>
      </c>
      <c r="W39" s="5" t="s">
        <v>18</v>
      </c>
      <c r="X39" s="5" t="s">
        <v>19</v>
      </c>
      <c r="Y39" s="5" t="s">
        <v>20</v>
      </c>
      <c r="Z39" s="5" t="s">
        <v>21</v>
      </c>
      <c r="AA39" s="5" t="s">
        <v>22</v>
      </c>
      <c r="AB39" s="5" t="s">
        <v>23</v>
      </c>
      <c r="AC39" s="5" t="s">
        <v>24</v>
      </c>
      <c r="AD39" s="5" t="s">
        <v>25</v>
      </c>
      <c r="AE39" s="5" t="s">
        <v>26</v>
      </c>
    </row>
    <row r="40">
      <c r="A40" s="5" t="s">
        <v>47</v>
      </c>
      <c r="B40" s="5">
        <v>2016.0</v>
      </c>
      <c r="C40" s="5">
        <v>4.19</v>
      </c>
      <c r="D40" s="5">
        <v>5610.0</v>
      </c>
      <c r="E40" s="5">
        <v>15088.0</v>
      </c>
      <c r="F40" s="5">
        <v>1651.0</v>
      </c>
      <c r="G40" s="5">
        <v>38982.0</v>
      </c>
      <c r="H40" s="5">
        <v>4234.0</v>
      </c>
      <c r="I40" s="5">
        <v>43306.333</v>
      </c>
      <c r="J40" s="5">
        <v>4.52</v>
      </c>
      <c r="L40" s="5">
        <v>3.3</v>
      </c>
      <c r="M40" s="5"/>
      <c r="N40" s="5"/>
      <c r="O40" s="5"/>
      <c r="P40" s="9">
        <f>C40 - (((13*D40)+(3*(E40+F40))-(2*(G40+H40)))/I40)</f>
        <v>3.34220252</v>
      </c>
      <c r="Q40" s="9">
        <f>((13*D42)+(3*(E42+F42))-(2*(G42+H42)))/I42 + P40</f>
        <v>3.837300559</v>
      </c>
      <c r="R40" s="9">
        <f>J40-C40</f>
        <v>0.33</v>
      </c>
      <c r="S40" s="9">
        <f>Q40+R40</f>
        <v>4.167300559</v>
      </c>
      <c r="T40" s="9">
        <f>S40 / (J42/100)</f>
        <v>4.167300559</v>
      </c>
      <c r="U40" s="9">
        <f>((13*D44)+(3*(E44+F44))-(2*(G44+H44)))/I44 + P40</f>
        <v>4.229111964</v>
      </c>
      <c r="V40" s="9">
        <f>U40 + R40</f>
        <v>4.559111964</v>
      </c>
      <c r="W40" s="9">
        <f>V40-T40</f>
        <v>0.391811405</v>
      </c>
      <c r="X40" s="9">
        <f>(((((18-I42/K42)*(V40))+((I42/K42)*T40))/18)+2)*1.5</f>
        <v>9.630518137</v>
      </c>
      <c r="Y40" s="9">
        <f>W40/X40</f>
        <v>0.04068435358</v>
      </c>
      <c r="Z40" s="9">
        <f>0.03*(1-L42/K42)+0.12*(L42/K42)</f>
        <v>0.12</v>
      </c>
      <c r="AA40" s="9">
        <f>Y40+Z40</f>
        <v>0.1606843536</v>
      </c>
      <c r="AB40" s="9">
        <f>AA40*(I42/9)</f>
        <v>3.642178681</v>
      </c>
      <c r="AC40" s="9">
        <f>-0.0007*I42</f>
        <v>-0.1428</v>
      </c>
      <c r="AD40" s="9">
        <f>IF(M42 = "NO", (AB40*((1+N42)/2) + AC40), AB40 + AC40)</f>
        <v>3.499378681</v>
      </c>
      <c r="AE40" s="9">
        <f>ABS(AD40-L40)</f>
        <v>0.1993786812</v>
      </c>
    </row>
    <row r="41">
      <c r="D41" s="10" t="s">
        <v>29</v>
      </c>
      <c r="E41" s="10" t="s">
        <v>30</v>
      </c>
      <c r="F41" s="10" t="s">
        <v>31</v>
      </c>
      <c r="G41" s="10" t="s">
        <v>32</v>
      </c>
      <c r="H41" s="10" t="s">
        <v>33</v>
      </c>
      <c r="I41" s="10" t="s">
        <v>34</v>
      </c>
      <c r="J41" s="16" t="s">
        <v>35</v>
      </c>
      <c r="K41" s="10" t="s">
        <v>36</v>
      </c>
      <c r="L41" s="10" t="s">
        <v>37</v>
      </c>
      <c r="M41" s="17" t="s">
        <v>38</v>
      </c>
      <c r="N41" s="17" t="s">
        <v>39</v>
      </c>
      <c r="O41" s="1"/>
    </row>
    <row r="42">
      <c r="D42" s="5">
        <v>21.0</v>
      </c>
      <c r="E42" s="5">
        <v>54.0</v>
      </c>
      <c r="F42" s="5">
        <v>4.0</v>
      </c>
      <c r="G42" s="5">
        <v>166.0</v>
      </c>
      <c r="H42" s="5">
        <v>7.0</v>
      </c>
      <c r="I42" s="5">
        <v>204.0</v>
      </c>
      <c r="J42" s="15">
        <v>100.0</v>
      </c>
      <c r="K42" s="5">
        <v>32.0</v>
      </c>
      <c r="L42" s="5">
        <v>32.0</v>
      </c>
      <c r="M42" s="5" t="s">
        <v>40</v>
      </c>
      <c r="N42" s="5"/>
      <c r="O42" s="5"/>
    </row>
    <row r="43">
      <c r="D43" s="14" t="s">
        <v>41</v>
      </c>
      <c r="E43" s="14" t="s">
        <v>42</v>
      </c>
      <c r="F43" s="14" t="s">
        <v>43</v>
      </c>
      <c r="G43" s="14" t="s">
        <v>44</v>
      </c>
      <c r="H43" s="14" t="s">
        <v>45</v>
      </c>
      <c r="I43" s="14" t="s">
        <v>46</v>
      </c>
    </row>
    <row r="44">
      <c r="D44" s="5">
        <v>2934.0</v>
      </c>
      <c r="E44" s="5">
        <v>7280.0</v>
      </c>
      <c r="F44" s="5">
        <v>771.0</v>
      </c>
      <c r="G44" s="5">
        <v>19244.0</v>
      </c>
      <c r="H44" s="5">
        <v>2320.0</v>
      </c>
      <c r="I44" s="5">
        <v>21611.0</v>
      </c>
    </row>
    <row r="46">
      <c r="A46" s="5" t="s">
        <v>48</v>
      </c>
      <c r="B46" s="5">
        <v>2016.0</v>
      </c>
      <c r="C46" s="2" t="s">
        <v>2</v>
      </c>
      <c r="D46" s="2" t="s">
        <v>3</v>
      </c>
      <c r="E46" s="2" t="s">
        <v>4</v>
      </c>
      <c r="F46" s="2" t="s">
        <v>5</v>
      </c>
      <c r="G46" s="2" t="s">
        <v>6</v>
      </c>
      <c r="H46" s="2" t="s">
        <v>7</v>
      </c>
      <c r="I46" s="2" t="s">
        <v>8</v>
      </c>
      <c r="J46" s="2" t="s">
        <v>9</v>
      </c>
      <c r="L46" s="15" t="s">
        <v>10</v>
      </c>
      <c r="M46" s="5"/>
      <c r="N46" s="5"/>
      <c r="O46" s="5"/>
      <c r="P46" s="5" t="s">
        <v>11</v>
      </c>
      <c r="Q46" s="5" t="s">
        <v>12</v>
      </c>
      <c r="R46" s="5" t="s">
        <v>13</v>
      </c>
      <c r="S46" s="5" t="s">
        <v>14</v>
      </c>
      <c r="T46" s="5" t="s">
        <v>15</v>
      </c>
      <c r="U46" s="5" t="s">
        <v>16</v>
      </c>
      <c r="V46" s="5" t="s">
        <v>17</v>
      </c>
      <c r="W46" s="5" t="s">
        <v>18</v>
      </c>
      <c r="X46" s="5" t="s">
        <v>19</v>
      </c>
      <c r="Y46" s="5" t="s">
        <v>20</v>
      </c>
      <c r="Z46" s="5" t="s">
        <v>21</v>
      </c>
      <c r="AA46" s="5" t="s">
        <v>22</v>
      </c>
      <c r="AB46" s="5" t="s">
        <v>23</v>
      </c>
      <c r="AC46" s="5" t="s">
        <v>24</v>
      </c>
      <c r="AD46" s="5" t="s">
        <v>25</v>
      </c>
      <c r="AE46" s="5" t="s">
        <v>26</v>
      </c>
    </row>
    <row r="47">
      <c r="C47" s="5">
        <v>4.19</v>
      </c>
      <c r="D47" s="5">
        <v>5610.0</v>
      </c>
      <c r="E47" s="5">
        <v>15088.0</v>
      </c>
      <c r="F47" s="5">
        <v>1651.0</v>
      </c>
      <c r="G47" s="5">
        <v>38982.0</v>
      </c>
      <c r="H47" s="5">
        <v>4234.0</v>
      </c>
      <c r="I47" s="5">
        <v>43306.333</v>
      </c>
      <c r="J47" s="5">
        <v>4.52</v>
      </c>
      <c r="L47" s="5">
        <v>5.1</v>
      </c>
      <c r="M47" s="5"/>
      <c r="N47" s="5"/>
      <c r="O47" s="5"/>
      <c r="P47" s="9">
        <f>C47 - (((13*D47)+(3*(E47+F47))-(2*(G47+H47)))/I47)</f>
        <v>3.34220252</v>
      </c>
      <c r="Q47" s="9">
        <f>((13*D49)+(3*(E49+F49))-(2*(G49+H49)))/I49 + P47</f>
        <v>3.28839086</v>
      </c>
      <c r="R47" s="9">
        <f>J47-C47</f>
        <v>0.33</v>
      </c>
      <c r="S47" s="9">
        <f>Q47+R47</f>
        <v>3.61839086</v>
      </c>
      <c r="T47" s="9">
        <f>S47 / (J49/100)</f>
        <v>3.654940263</v>
      </c>
      <c r="U47" s="9">
        <f>((13*D51)+(3*(E51+F51))-(2*(G51+H51)))/I51 + P47</f>
        <v>4.229111964</v>
      </c>
      <c r="V47" s="9">
        <f>U47 + R47</f>
        <v>4.559111964</v>
      </c>
      <c r="W47" s="9">
        <f>V47-T47</f>
        <v>0.9041717008</v>
      </c>
      <c r="X47" s="9">
        <f>(((((18-I49/K49)*(V47))+((I49/K49)*T47))/18)+2)*1.5</f>
        <v>9.329500549</v>
      </c>
      <c r="Y47" s="9">
        <f>W47/X47</f>
        <v>0.09691533819</v>
      </c>
      <c r="Z47" s="9">
        <f>0.03*(1-L49/K49)+0.12*(L49/K49)</f>
        <v>0.12</v>
      </c>
      <c r="AA47" s="9">
        <f>Y47+Z47</f>
        <v>0.2169153382</v>
      </c>
      <c r="AB47" s="9">
        <f>AA47*(I49/9)</f>
        <v>5.374680046</v>
      </c>
      <c r="AC47" s="9">
        <f>-0.0007*I49</f>
        <v>-0.1561</v>
      </c>
      <c r="AD47" s="9">
        <f>IF(M49 = "NO", (AB47*((1+N49)/2) + AC47), AB47 + AC47)</f>
        <v>5.218580046</v>
      </c>
      <c r="AE47" s="9">
        <f>ABS(AD47-L47)</f>
        <v>0.1185800463</v>
      </c>
    </row>
    <row r="48">
      <c r="D48" s="10" t="s">
        <v>29</v>
      </c>
      <c r="E48" s="10" t="s">
        <v>30</v>
      </c>
      <c r="F48" s="10" t="s">
        <v>31</v>
      </c>
      <c r="G48" s="10" t="s">
        <v>32</v>
      </c>
      <c r="H48" s="10" t="s">
        <v>33</v>
      </c>
      <c r="I48" s="10" t="s">
        <v>34</v>
      </c>
      <c r="J48" s="16" t="s">
        <v>35</v>
      </c>
      <c r="K48" s="10" t="s">
        <v>36</v>
      </c>
      <c r="L48" s="10" t="s">
        <v>37</v>
      </c>
      <c r="M48" s="17" t="s">
        <v>38</v>
      </c>
      <c r="N48" s="17" t="s">
        <v>39</v>
      </c>
      <c r="O48" s="1"/>
    </row>
    <row r="49">
      <c r="D49" s="5">
        <v>23.0</v>
      </c>
      <c r="E49" s="5">
        <v>32.0</v>
      </c>
      <c r="F49" s="5">
        <v>13.0</v>
      </c>
      <c r="G49" s="5">
        <v>189.0</v>
      </c>
      <c r="H49" s="5">
        <v>34.0</v>
      </c>
      <c r="I49" s="5">
        <v>223.0</v>
      </c>
      <c r="J49" s="5">
        <v>99.0</v>
      </c>
      <c r="K49" s="5">
        <v>33.0</v>
      </c>
      <c r="L49" s="5">
        <v>33.0</v>
      </c>
      <c r="M49" s="5" t="s">
        <v>40</v>
      </c>
      <c r="N49" s="5"/>
      <c r="O49" s="5"/>
    </row>
    <row r="50">
      <c r="D50" s="14" t="s">
        <v>41</v>
      </c>
      <c r="E50" s="14" t="s">
        <v>42</v>
      </c>
      <c r="F50" s="14" t="s">
        <v>43</v>
      </c>
      <c r="G50" s="14" t="s">
        <v>44</v>
      </c>
      <c r="H50" s="14" t="s">
        <v>45</v>
      </c>
      <c r="I50" s="14" t="s">
        <v>46</v>
      </c>
    </row>
    <row r="51">
      <c r="D51" s="5">
        <v>2934.0</v>
      </c>
      <c r="E51" s="5">
        <v>7280.0</v>
      </c>
      <c r="F51" s="5">
        <v>771.0</v>
      </c>
      <c r="G51" s="5">
        <v>19244.0</v>
      </c>
      <c r="H51" s="5">
        <v>2320.0</v>
      </c>
      <c r="I51" s="5">
        <v>21611.0</v>
      </c>
    </row>
    <row r="53">
      <c r="A53" s="5" t="s">
        <v>49</v>
      </c>
      <c r="B53" s="5">
        <v>2016.0</v>
      </c>
      <c r="C53" s="2" t="s">
        <v>2</v>
      </c>
      <c r="D53" s="2" t="s">
        <v>3</v>
      </c>
      <c r="E53" s="2" t="s">
        <v>4</v>
      </c>
      <c r="F53" s="2" t="s">
        <v>5</v>
      </c>
      <c r="G53" s="2" t="s">
        <v>6</v>
      </c>
      <c r="H53" s="2" t="s">
        <v>7</v>
      </c>
      <c r="I53" s="2" t="s">
        <v>8</v>
      </c>
      <c r="J53" s="2" t="s">
        <v>9</v>
      </c>
      <c r="L53" s="15" t="s">
        <v>10</v>
      </c>
      <c r="M53" s="5"/>
      <c r="N53" s="5"/>
      <c r="O53" s="5"/>
      <c r="P53" s="5" t="s">
        <v>11</v>
      </c>
      <c r="Q53" s="5" t="s">
        <v>12</v>
      </c>
      <c r="R53" s="5" t="s">
        <v>13</v>
      </c>
      <c r="S53" s="5" t="s">
        <v>14</v>
      </c>
      <c r="T53" s="5" t="s">
        <v>15</v>
      </c>
      <c r="U53" s="5" t="s">
        <v>16</v>
      </c>
      <c r="V53" s="5" t="s">
        <v>17</v>
      </c>
      <c r="W53" s="5" t="s">
        <v>18</v>
      </c>
      <c r="X53" s="5" t="s">
        <v>19</v>
      </c>
      <c r="Y53" s="5" t="s">
        <v>20</v>
      </c>
      <c r="Z53" s="5" t="s">
        <v>21</v>
      </c>
      <c r="AA53" s="5" t="s">
        <v>22</v>
      </c>
      <c r="AB53" s="5" t="s">
        <v>23</v>
      </c>
      <c r="AC53" s="5" t="s">
        <v>24</v>
      </c>
      <c r="AD53" s="5" t="s">
        <v>25</v>
      </c>
      <c r="AE53" s="5" t="s">
        <v>26</v>
      </c>
    </row>
    <row r="54">
      <c r="C54" s="5">
        <v>4.19</v>
      </c>
      <c r="D54" s="5">
        <v>5610.0</v>
      </c>
      <c r="E54" s="5">
        <v>15088.0</v>
      </c>
      <c r="F54" s="5">
        <v>1651.0</v>
      </c>
      <c r="G54" s="5">
        <v>38982.0</v>
      </c>
      <c r="H54" s="5">
        <v>4234.0</v>
      </c>
      <c r="I54" s="5">
        <v>43306.333</v>
      </c>
      <c r="J54" s="5">
        <v>4.52</v>
      </c>
      <c r="L54" s="5">
        <v>4.3</v>
      </c>
      <c r="M54" s="5"/>
      <c r="N54" s="5"/>
      <c r="O54" s="5"/>
      <c r="P54" s="9">
        <f>C54 - (((13*D54)+(3*(E54+F54))-(2*(G54+H54)))/I54)</f>
        <v>3.34220252</v>
      </c>
      <c r="Q54" s="9">
        <f>((13*D56)+(3*(E56+F56))-(2*(G56+H56)))/I56 + P54</f>
        <v>3.201026257</v>
      </c>
      <c r="R54" s="9">
        <f>J54-C54</f>
        <v>0.33</v>
      </c>
      <c r="S54" s="9">
        <f>Q54+R54</f>
        <v>3.531026257</v>
      </c>
      <c r="T54" s="9">
        <f>S54 / (J56/100)</f>
        <v>3.716869744</v>
      </c>
      <c r="U54" s="9">
        <f>((13*D58)+(3*(E58+F58))-(2*(G58+H58)))/I58 + P54</f>
        <v>4.15104007</v>
      </c>
      <c r="V54" s="9">
        <f>U54 + R54</f>
        <v>4.48104007</v>
      </c>
      <c r="W54" s="9">
        <f>V54-T54</f>
        <v>0.7641703262</v>
      </c>
      <c r="X54" s="9">
        <f>(((((18-I56/K56)*(V54))+((I56/K56)*T54))/18)+2)*1.5</f>
        <v>9.297020411</v>
      </c>
      <c r="Y54" s="9">
        <f>W54/X54</f>
        <v>0.08219518647</v>
      </c>
      <c r="Z54" s="9">
        <f>0.03*(1-L56/K56)+0.12*(L56/K56)</f>
        <v>0.12</v>
      </c>
      <c r="AA54" s="9">
        <f>Y54+Z54</f>
        <v>0.2021951865</v>
      </c>
      <c r="AB54" s="9">
        <f>AA54*(I56/9)</f>
        <v>5.092330703</v>
      </c>
      <c r="AC54" s="9">
        <f>-0.0007*I56</f>
        <v>-0.1586669</v>
      </c>
      <c r="AD54" s="9">
        <f>IF(M56 = "NO", (AB54*((1+N56)/2) + AC54), AB54 + AC54)</f>
        <v>4.933663803</v>
      </c>
      <c r="AE54" s="9">
        <f>ABS(AD54-L54)</f>
        <v>0.6336638034</v>
      </c>
    </row>
    <row r="55">
      <c r="D55" s="10" t="s">
        <v>29</v>
      </c>
      <c r="E55" s="10" t="s">
        <v>30</v>
      </c>
      <c r="F55" s="10" t="s">
        <v>31</v>
      </c>
      <c r="G55" s="10" t="s">
        <v>32</v>
      </c>
      <c r="H55" s="10" t="s">
        <v>33</v>
      </c>
      <c r="I55" s="10" t="s">
        <v>34</v>
      </c>
      <c r="J55" s="16" t="s">
        <v>35</v>
      </c>
      <c r="K55" s="10" t="s">
        <v>36</v>
      </c>
      <c r="L55" s="10" t="s">
        <v>37</v>
      </c>
      <c r="M55" s="17" t="s">
        <v>38</v>
      </c>
      <c r="N55" s="17" t="s">
        <v>39</v>
      </c>
      <c r="O55" s="1"/>
    </row>
    <row r="56">
      <c r="D56" s="5">
        <v>26.0</v>
      </c>
      <c r="E56" s="5">
        <v>54.0</v>
      </c>
      <c r="F56" s="5">
        <v>8.0</v>
      </c>
      <c r="G56" s="5">
        <v>251.0</v>
      </c>
      <c r="H56" s="5">
        <v>27.0</v>
      </c>
      <c r="I56" s="5">
        <v>226.667</v>
      </c>
      <c r="J56" s="5">
        <v>95.0</v>
      </c>
      <c r="K56" s="5">
        <v>34.0</v>
      </c>
      <c r="L56" s="5">
        <v>34.0</v>
      </c>
      <c r="M56" s="5" t="s">
        <v>40</v>
      </c>
      <c r="N56" s="5"/>
      <c r="O56" s="5"/>
    </row>
    <row r="57">
      <c r="D57" s="14" t="s">
        <v>41</v>
      </c>
      <c r="E57" s="14" t="s">
        <v>42</v>
      </c>
      <c r="F57" s="14" t="s">
        <v>43</v>
      </c>
      <c r="G57" s="14" t="s">
        <v>44</v>
      </c>
      <c r="H57" s="14" t="s">
        <v>45</v>
      </c>
      <c r="I57" s="14" t="s">
        <v>46</v>
      </c>
    </row>
    <row r="58">
      <c r="D58" s="5">
        <v>2676.0</v>
      </c>
      <c r="E58" s="5">
        <v>7808.0</v>
      </c>
      <c r="F58" s="5">
        <v>880.0</v>
      </c>
      <c r="G58" s="5">
        <v>19738.0</v>
      </c>
      <c r="H58" s="5">
        <v>1914.0</v>
      </c>
      <c r="I58" s="5">
        <v>21695.333</v>
      </c>
    </row>
    <row r="60">
      <c r="A60" s="5" t="s">
        <v>50</v>
      </c>
      <c r="B60" s="5">
        <v>2008.0</v>
      </c>
      <c r="C60" s="2" t="s">
        <v>2</v>
      </c>
      <c r="D60" s="2" t="s">
        <v>3</v>
      </c>
      <c r="E60" s="2" t="s">
        <v>4</v>
      </c>
      <c r="F60" s="2" t="s">
        <v>5</v>
      </c>
      <c r="G60" s="2" t="s">
        <v>6</v>
      </c>
      <c r="H60" s="2" t="s">
        <v>7</v>
      </c>
      <c r="I60" s="2" t="s">
        <v>8</v>
      </c>
      <c r="J60" s="2" t="s">
        <v>9</v>
      </c>
      <c r="L60" s="15" t="s">
        <v>10</v>
      </c>
      <c r="M60" s="5"/>
      <c r="N60" s="5"/>
      <c r="O60" s="5"/>
      <c r="P60" s="5" t="s">
        <v>11</v>
      </c>
      <c r="Q60" s="5" t="s">
        <v>12</v>
      </c>
      <c r="R60" s="5" t="s">
        <v>13</v>
      </c>
      <c r="S60" s="5" t="s">
        <v>14</v>
      </c>
      <c r="T60" s="5" t="s">
        <v>15</v>
      </c>
      <c r="U60" s="5" t="s">
        <v>16</v>
      </c>
      <c r="V60" s="5" t="s">
        <v>17</v>
      </c>
      <c r="W60" s="5" t="s">
        <v>18</v>
      </c>
      <c r="X60" s="5" t="s">
        <v>19</v>
      </c>
      <c r="Y60" s="5" t="s">
        <v>20</v>
      </c>
      <c r="Z60" s="5" t="s">
        <v>21</v>
      </c>
      <c r="AA60" s="5" t="s">
        <v>22</v>
      </c>
      <c r="AB60" s="5" t="s">
        <v>23</v>
      </c>
      <c r="AC60" s="5" t="s">
        <v>24</v>
      </c>
      <c r="AD60" s="5" t="s">
        <v>25</v>
      </c>
      <c r="AE60" s="5" t="s">
        <v>26</v>
      </c>
    </row>
    <row r="61">
      <c r="C61" s="5">
        <v>4.32</v>
      </c>
      <c r="D61" s="5">
        <v>4878.0</v>
      </c>
      <c r="E61" s="5">
        <v>16337.0</v>
      </c>
      <c r="F61" s="5">
        <v>1672.0</v>
      </c>
      <c r="G61" s="5">
        <v>32884.0</v>
      </c>
      <c r="H61" s="5">
        <v>4937.0</v>
      </c>
      <c r="I61" s="5">
        <v>43357.667</v>
      </c>
      <c r="J61" s="5">
        <v>4.69</v>
      </c>
      <c r="L61" s="5">
        <v>7.1</v>
      </c>
      <c r="M61" s="5"/>
      <c r="N61" s="5"/>
      <c r="O61" s="5"/>
      <c r="P61" s="9">
        <f>C61 - (((13*D61)+(3*(E61+F61))-(2*(G61+H61)))/I61)</f>
        <v>3.355949051</v>
      </c>
      <c r="Q61" s="9">
        <f>((13*D63)+(3*(E63+F63))-(2*(G63+H63)))/I63 + P61</f>
        <v>2.699561386</v>
      </c>
      <c r="R61" s="9">
        <f>J61-C61</f>
        <v>0.37</v>
      </c>
      <c r="S61" s="9">
        <f>Q61+R61</f>
        <v>3.069561386</v>
      </c>
      <c r="T61" s="9">
        <f>S61 / (J63/100)</f>
        <v>3.132205496</v>
      </c>
      <c r="U61" s="9">
        <f>((13*D65)+(3*(E65+F65))-(2*(G65+H65)))/I65 + P61</f>
        <v>4.327622984</v>
      </c>
      <c r="V61" s="9">
        <f>U61 + R61</f>
        <v>4.697622984</v>
      </c>
      <c r="W61" s="9">
        <f>V61-T61</f>
        <v>1.565417488</v>
      </c>
      <c r="X61" s="9">
        <f>(((((18-I63/K63)*(V61))+((I63/K63)*T61))/18)+2)*1.5</f>
        <v>9.175479158</v>
      </c>
      <c r="Y61" s="9">
        <f>W61/X61</f>
        <v>0.1706087999</v>
      </c>
      <c r="Z61" s="9">
        <f>0.03*(1-L63/K63)+0.12*(L63/K63)</f>
        <v>0.1173529412</v>
      </c>
      <c r="AA61" s="9">
        <f>Y61+Z61</f>
        <v>0.2879617411</v>
      </c>
      <c r="AB61" s="9">
        <f>AA61*(I63/9)</f>
        <v>7.263035026</v>
      </c>
      <c r="AC61" s="9">
        <f>-0.0007*I63</f>
        <v>-0.1589</v>
      </c>
      <c r="AD61" s="9">
        <f>IF(M63 = "NO", (AB61*((1+N63)/2) + AC61), AB61 + AC61)</f>
        <v>7.104135026</v>
      </c>
      <c r="AE61" s="9">
        <f>ABS(AD61-L61)</f>
        <v>0.004135025723</v>
      </c>
    </row>
    <row r="62">
      <c r="D62" s="10" t="s">
        <v>29</v>
      </c>
      <c r="E62" s="10" t="s">
        <v>30</v>
      </c>
      <c r="F62" s="10" t="s">
        <v>31</v>
      </c>
      <c r="G62" s="10" t="s">
        <v>32</v>
      </c>
      <c r="H62" s="10" t="s">
        <v>33</v>
      </c>
      <c r="I62" s="10" t="s">
        <v>34</v>
      </c>
      <c r="J62" s="16" t="s">
        <v>35</v>
      </c>
      <c r="K62" s="10" t="s">
        <v>36</v>
      </c>
      <c r="L62" s="10" t="s">
        <v>37</v>
      </c>
      <c r="M62" s="17" t="s">
        <v>38</v>
      </c>
      <c r="N62" s="17" t="s">
        <v>39</v>
      </c>
      <c r="O62" s="1"/>
    </row>
    <row r="63">
      <c r="D63" s="5">
        <v>11.0</v>
      </c>
      <c r="E63" s="5">
        <v>84.0</v>
      </c>
      <c r="F63" s="5">
        <v>6.0</v>
      </c>
      <c r="G63" s="5">
        <v>265.0</v>
      </c>
      <c r="H63" s="5">
        <v>16.0</v>
      </c>
      <c r="I63" s="5">
        <v>227.0</v>
      </c>
      <c r="J63" s="5">
        <v>98.0</v>
      </c>
      <c r="K63" s="5">
        <v>34.0</v>
      </c>
      <c r="L63" s="5">
        <v>33.0</v>
      </c>
      <c r="M63" s="5" t="s">
        <v>40</v>
      </c>
      <c r="N63" s="5"/>
      <c r="O63" s="5"/>
    </row>
    <row r="64">
      <c r="D64" s="14" t="s">
        <v>41</v>
      </c>
      <c r="E64" s="14" t="s">
        <v>42</v>
      </c>
      <c r="F64" s="14" t="s">
        <v>43</v>
      </c>
      <c r="G64" s="14" t="s">
        <v>44</v>
      </c>
      <c r="H64" s="14" t="s">
        <v>45</v>
      </c>
      <c r="I64" s="14" t="s">
        <v>46</v>
      </c>
    </row>
    <row r="65">
      <c r="D65" s="5">
        <v>2632.0</v>
      </c>
      <c r="E65" s="5">
        <v>8867.0</v>
      </c>
      <c r="F65" s="5">
        <v>879.0</v>
      </c>
      <c r="G65" s="5">
        <v>17959.0</v>
      </c>
      <c r="H65" s="5">
        <v>2528.0</v>
      </c>
      <c r="I65" s="5">
        <v>23135.333</v>
      </c>
    </row>
    <row r="67">
      <c r="A67" s="5" t="s">
        <v>51</v>
      </c>
      <c r="B67" s="5">
        <v>2023.0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2" t="s">
        <v>9</v>
      </c>
      <c r="L67" s="15" t="s">
        <v>10</v>
      </c>
      <c r="M67" s="5"/>
      <c r="N67" s="5"/>
      <c r="O67" s="5"/>
      <c r="P67" s="5" t="s">
        <v>11</v>
      </c>
      <c r="Q67" s="5" t="s">
        <v>12</v>
      </c>
      <c r="R67" s="5" t="s">
        <v>13</v>
      </c>
      <c r="S67" s="5" t="s">
        <v>14</v>
      </c>
      <c r="T67" s="5" t="s">
        <v>15</v>
      </c>
      <c r="U67" s="5" t="s">
        <v>16</v>
      </c>
      <c r="V67" s="5" t="s">
        <v>17</v>
      </c>
      <c r="W67" s="5" t="s">
        <v>18</v>
      </c>
      <c r="X67" s="5" t="s">
        <v>19</v>
      </c>
      <c r="Y67" s="5" t="s">
        <v>20</v>
      </c>
      <c r="Z67" s="5" t="s">
        <v>21</v>
      </c>
      <c r="AA67" s="5" t="s">
        <v>22</v>
      </c>
      <c r="AB67" s="5" t="s">
        <v>23</v>
      </c>
      <c r="AC67" s="5" t="s">
        <v>24</v>
      </c>
      <c r="AD67" s="5" t="s">
        <v>25</v>
      </c>
      <c r="AE67" s="5" t="s">
        <v>26</v>
      </c>
    </row>
    <row r="68">
      <c r="C68" s="5">
        <v>4.33</v>
      </c>
      <c r="D68" s="5">
        <v>5868.0</v>
      </c>
      <c r="E68" s="5">
        <v>15819.0</v>
      </c>
      <c r="F68" s="5">
        <v>2112.0</v>
      </c>
      <c r="G68" s="5">
        <v>41843.0</v>
      </c>
      <c r="H68" s="5">
        <v>4542.0</v>
      </c>
      <c r="I68" s="5">
        <v>43087.333</v>
      </c>
      <c r="J68" s="5">
        <v>4.69</v>
      </c>
      <c r="L68" s="5">
        <v>4.9</v>
      </c>
      <c r="M68" s="5"/>
      <c r="N68" s="5"/>
      <c r="O68" s="5"/>
      <c r="P68" s="9">
        <f>C68 - (((13*D68)+(3*(E68+F68))-(2*(G68+H68)))/I68)</f>
        <v>3.464153882</v>
      </c>
      <c r="Q68" s="9">
        <f>((13*D70)+(3*(E70+F70))-(2*(G70+H70)))/I70 + P68</f>
        <v>3.288227956</v>
      </c>
      <c r="R68" s="9">
        <f>J68-C68</f>
        <v>0.36</v>
      </c>
      <c r="S68" s="9">
        <f>Q68+R68</f>
        <v>3.648227956</v>
      </c>
      <c r="T68" s="9">
        <f>S68 / (J70/100)</f>
        <v>3.800237455</v>
      </c>
      <c r="U68" s="9">
        <f>((13*D72)+(3*(E72+F72))-(2*(G72+H72)))/I72 + P68</f>
        <v>4.380532551</v>
      </c>
      <c r="V68" s="9">
        <f>U68 + R68</f>
        <v>4.740532551</v>
      </c>
      <c r="W68" s="9">
        <f>V68-T68</f>
        <v>0.940295096</v>
      </c>
      <c r="X68" s="9">
        <f>(((((18-I70/K70)*(V68))+((I70/K70)*T68))/18)+2)*1.5</f>
        <v>9.597910592</v>
      </c>
      <c r="Y68" s="9">
        <f>W68/X68</f>
        <v>0.0979687284</v>
      </c>
      <c r="Z68" s="9">
        <f>0.03*(1-L70/K70)+0.12*(L70/K70)</f>
        <v>0.12</v>
      </c>
      <c r="AA68" s="9">
        <f>Y68+Z68</f>
        <v>0.2179687284</v>
      </c>
      <c r="AB68" s="9">
        <f>AA68*(I70/9)</f>
        <v>5.231249482</v>
      </c>
      <c r="AC68" s="9">
        <f>-0.0007*I70</f>
        <v>-0.1512</v>
      </c>
      <c r="AD68" s="9">
        <f>IF(M70 = "NO", (AB68*((1+N70)/2) + AC68), AB68 + AC68)</f>
        <v>5.080049482</v>
      </c>
      <c r="AE68" s="9">
        <f>ABS(AD68-L68)</f>
        <v>0.1800494817</v>
      </c>
    </row>
    <row r="69">
      <c r="D69" s="10" t="s">
        <v>29</v>
      </c>
      <c r="E69" s="10" t="s">
        <v>30</v>
      </c>
      <c r="F69" s="10" t="s">
        <v>31</v>
      </c>
      <c r="G69" s="10" t="s">
        <v>32</v>
      </c>
      <c r="H69" s="10" t="s">
        <v>33</v>
      </c>
      <c r="I69" s="10" t="s">
        <v>34</v>
      </c>
      <c r="J69" s="16" t="s">
        <v>35</v>
      </c>
      <c r="K69" s="10" t="s">
        <v>36</v>
      </c>
      <c r="L69" s="10" t="s">
        <v>37</v>
      </c>
      <c r="M69" s="17" t="s">
        <v>38</v>
      </c>
      <c r="N69" s="17" t="s">
        <v>39</v>
      </c>
      <c r="O69" s="1"/>
    </row>
    <row r="70">
      <c r="D70" s="5">
        <v>20.0</v>
      </c>
      <c r="E70" s="5">
        <v>31.0</v>
      </c>
      <c r="F70" s="5">
        <v>5.0</v>
      </c>
      <c r="G70" s="5">
        <v>194.0</v>
      </c>
      <c r="H70" s="5">
        <v>9.0</v>
      </c>
      <c r="I70" s="5">
        <v>216.0</v>
      </c>
      <c r="J70" s="5">
        <v>96.0</v>
      </c>
      <c r="K70" s="5">
        <v>33.0</v>
      </c>
      <c r="L70" s="5">
        <v>33.0</v>
      </c>
      <c r="M70" s="5" t="s">
        <v>40</v>
      </c>
      <c r="N70" s="5"/>
      <c r="O70" s="5"/>
    </row>
    <row r="71">
      <c r="D71" s="14" t="s">
        <v>41</v>
      </c>
      <c r="E71" s="14" t="s">
        <v>42</v>
      </c>
      <c r="F71" s="14" t="s">
        <v>43</v>
      </c>
      <c r="G71" s="14" t="s">
        <v>44</v>
      </c>
      <c r="H71" s="14" t="s">
        <v>45</v>
      </c>
      <c r="I71" s="14" t="s">
        <v>46</v>
      </c>
    </row>
    <row r="72">
      <c r="D72" s="5">
        <v>2933.0</v>
      </c>
      <c r="E72" s="5">
        <v>7975.0</v>
      </c>
      <c r="F72" s="5">
        <v>1049.0</v>
      </c>
      <c r="G72" s="5">
        <v>20515.0</v>
      </c>
      <c r="H72" s="5">
        <v>2230.0</v>
      </c>
      <c r="I72" s="5">
        <v>21509.667</v>
      </c>
    </row>
    <row r="74">
      <c r="A74" s="5" t="s">
        <v>52</v>
      </c>
      <c r="B74" s="5">
        <v>2023.0</v>
      </c>
      <c r="C74" s="2" t="s">
        <v>2</v>
      </c>
      <c r="D74" s="2" t="s">
        <v>3</v>
      </c>
      <c r="E74" s="2" t="s">
        <v>4</v>
      </c>
      <c r="F74" s="2" t="s">
        <v>5</v>
      </c>
      <c r="G74" s="2" t="s">
        <v>6</v>
      </c>
      <c r="H74" s="2" t="s">
        <v>7</v>
      </c>
      <c r="I74" s="2" t="s">
        <v>8</v>
      </c>
      <c r="J74" s="2" t="s">
        <v>9</v>
      </c>
      <c r="L74" s="15" t="s">
        <v>10</v>
      </c>
      <c r="M74" s="5"/>
      <c r="N74" s="5"/>
      <c r="O74" s="5"/>
      <c r="P74" s="5" t="s">
        <v>11</v>
      </c>
      <c r="Q74" s="5" t="s">
        <v>12</v>
      </c>
      <c r="R74" s="5" t="s">
        <v>13</v>
      </c>
      <c r="S74" s="5" t="s">
        <v>14</v>
      </c>
      <c r="T74" s="5" t="s">
        <v>15</v>
      </c>
      <c r="U74" s="5" t="s">
        <v>16</v>
      </c>
      <c r="V74" s="5" t="s">
        <v>17</v>
      </c>
      <c r="W74" s="5" t="s">
        <v>18</v>
      </c>
      <c r="X74" s="5" t="s">
        <v>19</v>
      </c>
      <c r="Y74" s="5" t="s">
        <v>20</v>
      </c>
      <c r="Z74" s="5" t="s">
        <v>21</v>
      </c>
      <c r="AA74" s="5" t="s">
        <v>22</v>
      </c>
      <c r="AB74" s="5" t="s">
        <v>23</v>
      </c>
      <c r="AC74" s="5" t="s">
        <v>24</v>
      </c>
      <c r="AD74" s="5" t="s">
        <v>25</v>
      </c>
      <c r="AE74" s="5" t="s">
        <v>26</v>
      </c>
    </row>
    <row r="75">
      <c r="C75" s="5">
        <v>4.33</v>
      </c>
      <c r="D75" s="5">
        <v>5868.0</v>
      </c>
      <c r="E75" s="5">
        <v>15819.0</v>
      </c>
      <c r="F75" s="5">
        <v>2112.0</v>
      </c>
      <c r="G75" s="5">
        <v>41843.0</v>
      </c>
      <c r="H75" s="5">
        <v>4542.0</v>
      </c>
      <c r="I75" s="5">
        <v>43087.333</v>
      </c>
      <c r="J75" s="5">
        <v>4.69</v>
      </c>
      <c r="L75" s="5">
        <v>4.2</v>
      </c>
      <c r="M75" s="5"/>
      <c r="N75" s="5"/>
      <c r="O75" s="5"/>
      <c r="P75" s="9">
        <f>C75 - (((13*D75)+(3*(E75+F75))-(2*(G75+H75)))/I75)</f>
        <v>3.464153882</v>
      </c>
      <c r="Q75" s="9">
        <f>((13*D77)+(3*(E77+F77))-(2*(G77+H77)))/I77 + P75</f>
        <v>3.536376105</v>
      </c>
      <c r="R75" s="9">
        <f>J75-C75</f>
        <v>0.36</v>
      </c>
      <c r="S75" s="9">
        <f>Q75+R75</f>
        <v>3.896376105</v>
      </c>
      <c r="T75" s="9">
        <f>S75 / (J77/100)</f>
        <v>3.896376105</v>
      </c>
      <c r="U75" s="9">
        <f>((13*D79)+(3*(E79+F79))-(2*(G79+H79)))/I79 + P75</f>
        <v>4.380532551</v>
      </c>
      <c r="V75" s="9">
        <f>U75 + R75</f>
        <v>4.740532551</v>
      </c>
      <c r="W75" s="9">
        <f>V75-T75</f>
        <v>0.844156446</v>
      </c>
      <c r="X75" s="9">
        <f>(((((18-I77/K77)*(V75))+((I77/K77)*T75))/18)+2)*1.5</f>
        <v>9.715100492</v>
      </c>
      <c r="Y75" s="9">
        <f>W75/X75</f>
        <v>0.08689116976</v>
      </c>
      <c r="Z75" s="9">
        <f>0.03*(1-L77/K77)+0.12*(L77/K77)</f>
        <v>0.12</v>
      </c>
      <c r="AA75" s="9">
        <f>Y75+Z75</f>
        <v>0.2068911698</v>
      </c>
      <c r="AB75" s="9">
        <f>AA75*(I77/9)</f>
        <v>4.137823395</v>
      </c>
      <c r="AC75" s="9">
        <f>-0.0007*I77</f>
        <v>-0.126</v>
      </c>
      <c r="AD75" s="9">
        <f>IF(M77 = "NO", (AB75*((1+N77)/2) + AC75), AB75 + AC75)</f>
        <v>4.011823395</v>
      </c>
      <c r="AE75" s="9">
        <f>ABS(AD75-L75)</f>
        <v>0.1881766049</v>
      </c>
    </row>
    <row r="76">
      <c r="D76" s="10" t="s">
        <v>29</v>
      </c>
      <c r="E76" s="10" t="s">
        <v>30</v>
      </c>
      <c r="F76" s="10" t="s">
        <v>31</v>
      </c>
      <c r="G76" s="10" t="s">
        <v>32</v>
      </c>
      <c r="H76" s="10" t="s">
        <v>33</v>
      </c>
      <c r="I76" s="10" t="s">
        <v>34</v>
      </c>
      <c r="J76" s="16" t="s">
        <v>35</v>
      </c>
      <c r="K76" s="10" t="s">
        <v>36</v>
      </c>
      <c r="L76" s="10" t="s">
        <v>37</v>
      </c>
      <c r="M76" s="17" t="s">
        <v>38</v>
      </c>
      <c r="N76" s="17" t="s">
        <v>39</v>
      </c>
      <c r="O76" s="1"/>
    </row>
    <row r="77">
      <c r="D77" s="8">
        <v>15.0</v>
      </c>
      <c r="E77" s="8">
        <v>99.0</v>
      </c>
      <c r="F77" s="8">
        <v>3.0</v>
      </c>
      <c r="G77" s="8">
        <v>234.0</v>
      </c>
      <c r="H77" s="8">
        <v>10.0</v>
      </c>
      <c r="I77" s="8">
        <v>180.0</v>
      </c>
      <c r="J77" s="5">
        <v>100.0</v>
      </c>
      <c r="K77" s="5">
        <v>32.0</v>
      </c>
      <c r="L77" s="5">
        <v>32.0</v>
      </c>
      <c r="M77" s="5" t="s">
        <v>40</v>
      </c>
      <c r="N77" s="5"/>
      <c r="O77" s="5"/>
    </row>
    <row r="78">
      <c r="D78" s="14" t="s">
        <v>41</v>
      </c>
      <c r="E78" s="14" t="s">
        <v>42</v>
      </c>
      <c r="F78" s="14" t="s">
        <v>43</v>
      </c>
      <c r="G78" s="14" t="s">
        <v>44</v>
      </c>
      <c r="H78" s="14" t="s">
        <v>45</v>
      </c>
      <c r="I78" s="14" t="s">
        <v>46</v>
      </c>
    </row>
    <row r="79">
      <c r="D79" s="5">
        <v>2933.0</v>
      </c>
      <c r="E79" s="5">
        <v>7975.0</v>
      </c>
      <c r="F79" s="5">
        <v>1049.0</v>
      </c>
      <c r="G79" s="5">
        <v>20515.0</v>
      </c>
      <c r="H79" s="5">
        <v>2230.0</v>
      </c>
      <c r="I79" s="5">
        <v>21509.667</v>
      </c>
    </row>
    <row r="81">
      <c r="A81" s="5" t="s">
        <v>53</v>
      </c>
      <c r="B81" s="5">
        <v>2023.0</v>
      </c>
      <c r="C81" s="2" t="s">
        <v>2</v>
      </c>
      <c r="D81" s="2" t="s">
        <v>3</v>
      </c>
      <c r="E81" s="2" t="s">
        <v>4</v>
      </c>
      <c r="F81" s="2" t="s">
        <v>5</v>
      </c>
      <c r="G81" s="2" t="s">
        <v>6</v>
      </c>
      <c r="H81" s="2" t="s">
        <v>7</v>
      </c>
      <c r="I81" s="2" t="s">
        <v>8</v>
      </c>
      <c r="J81" s="2" t="s">
        <v>9</v>
      </c>
      <c r="L81" s="15" t="s">
        <v>10</v>
      </c>
      <c r="M81" s="5"/>
      <c r="N81" s="5"/>
      <c r="O81" s="5"/>
      <c r="P81" s="5" t="s">
        <v>11</v>
      </c>
      <c r="Q81" s="5" t="s">
        <v>12</v>
      </c>
      <c r="R81" s="5" t="s">
        <v>13</v>
      </c>
      <c r="S81" s="5" t="s">
        <v>14</v>
      </c>
      <c r="T81" s="5" t="s">
        <v>15</v>
      </c>
      <c r="U81" s="5" t="s">
        <v>16</v>
      </c>
      <c r="V81" s="5" t="s">
        <v>17</v>
      </c>
      <c r="W81" s="5" t="s">
        <v>18</v>
      </c>
      <c r="X81" s="5" t="s">
        <v>19</v>
      </c>
      <c r="Y81" s="5" t="s">
        <v>20</v>
      </c>
      <c r="Z81" s="5" t="s">
        <v>21</v>
      </c>
      <c r="AA81" s="5" t="s">
        <v>22</v>
      </c>
      <c r="AB81" s="5" t="s">
        <v>23</v>
      </c>
      <c r="AC81" s="5" t="s">
        <v>24</v>
      </c>
      <c r="AD81" s="5" t="s">
        <v>25</v>
      </c>
      <c r="AE81" s="5" t="s">
        <v>26</v>
      </c>
    </row>
    <row r="82">
      <c r="C82" s="5">
        <v>4.33</v>
      </c>
      <c r="D82" s="5">
        <v>5868.0</v>
      </c>
      <c r="E82" s="5">
        <v>15819.0</v>
      </c>
      <c r="F82" s="5">
        <v>2112.0</v>
      </c>
      <c r="G82" s="5">
        <v>41843.0</v>
      </c>
      <c r="H82" s="5">
        <v>4542.0</v>
      </c>
      <c r="I82" s="5">
        <v>43087.333</v>
      </c>
      <c r="J82" s="5">
        <v>4.69</v>
      </c>
      <c r="L82" s="5">
        <v>5.4</v>
      </c>
      <c r="M82" s="5"/>
      <c r="N82" s="5"/>
      <c r="O82" s="5"/>
      <c r="P82" s="9">
        <f>C82 - (((13*D82)+(3*(E82+F82))-(2*(G82+H82)))/I82)</f>
        <v>3.464153882</v>
      </c>
      <c r="Q82" s="9">
        <f>((13*D84)+(3*(E84+F84))-(2*(G84+H84)))/I84 + P82</f>
        <v>3.200995988</v>
      </c>
      <c r="R82" s="9">
        <f>J82-C82</f>
        <v>0.36</v>
      </c>
      <c r="S82" s="9">
        <f>Q82+R82</f>
        <v>3.560995988</v>
      </c>
      <c r="T82" s="9">
        <f>S82 / (J84/100)</f>
        <v>3.457277658</v>
      </c>
      <c r="U82" s="9">
        <f>((13*D86)+(3*(E86+F86))-(2*(G86+H86)))/I86 + P82</f>
        <v>4.279626658</v>
      </c>
      <c r="V82" s="9">
        <f>U82 + R82</f>
        <v>4.639626658</v>
      </c>
      <c r="W82" s="9">
        <f>V82-T82</f>
        <v>1.182349</v>
      </c>
      <c r="X82" s="9">
        <f>(((((18-I84/K84)*(V82))+((I84/K84)*T82))/18)+2)*1.5</f>
        <v>9.335422459</v>
      </c>
      <c r="Y82" s="9">
        <f>W82/X82</f>
        <v>0.1266519009</v>
      </c>
      <c r="Z82" s="9">
        <f>0.03*(1-L84/K84)+0.12*(L84/K84)</f>
        <v>0.12</v>
      </c>
      <c r="AA82" s="9">
        <f>Y82+Z82</f>
        <v>0.2466519009</v>
      </c>
      <c r="AB82" s="9">
        <f>AA82*(I84/9)</f>
        <v>5.727805254</v>
      </c>
      <c r="AC82" s="9">
        <f>-0.0007*I84</f>
        <v>-0.1463</v>
      </c>
      <c r="AD82" s="9">
        <f>IF(M84 = "NO", (AB82*((1+N84)/2) + AC82), AB82 + AC82)</f>
        <v>5.581505254</v>
      </c>
      <c r="AE82" s="9">
        <f>ABS(AD82-L82)</f>
        <v>0.1815052541</v>
      </c>
    </row>
    <row r="83">
      <c r="D83" s="10" t="s">
        <v>29</v>
      </c>
      <c r="E83" s="10" t="s">
        <v>30</v>
      </c>
      <c r="F83" s="10" t="s">
        <v>31</v>
      </c>
      <c r="G83" s="10" t="s">
        <v>32</v>
      </c>
      <c r="H83" s="10" t="s">
        <v>33</v>
      </c>
      <c r="I83" s="10" t="s">
        <v>34</v>
      </c>
      <c r="J83" s="16" t="s">
        <v>35</v>
      </c>
      <c r="K83" s="10" t="s">
        <v>36</v>
      </c>
      <c r="L83" s="10" t="s">
        <v>37</v>
      </c>
      <c r="M83" s="17" t="s">
        <v>38</v>
      </c>
      <c r="N83" s="17" t="s">
        <v>39</v>
      </c>
      <c r="O83" s="1"/>
    </row>
    <row r="84">
      <c r="D84" s="7">
        <v>20.0</v>
      </c>
      <c r="E84" s="7">
        <v>48.0</v>
      </c>
      <c r="F84" s="7">
        <v>7.0</v>
      </c>
      <c r="G84" s="7">
        <v>222.0</v>
      </c>
      <c r="H84" s="7">
        <v>18.0</v>
      </c>
      <c r="I84" s="7">
        <v>209.0</v>
      </c>
      <c r="J84" s="5">
        <v>103.0</v>
      </c>
      <c r="K84" s="5">
        <v>33.0</v>
      </c>
      <c r="L84" s="5">
        <v>33.0</v>
      </c>
      <c r="M84" s="5" t="s">
        <v>40</v>
      </c>
      <c r="N84" s="5"/>
      <c r="O84" s="5"/>
    </row>
    <row r="85">
      <c r="D85" s="14" t="s">
        <v>41</v>
      </c>
      <c r="E85" s="14" t="s">
        <v>42</v>
      </c>
      <c r="F85" s="14" t="s">
        <v>43</v>
      </c>
      <c r="G85" s="14" t="s">
        <v>44</v>
      </c>
      <c r="H85" s="14" t="s">
        <v>45</v>
      </c>
      <c r="I85" s="14" t="s">
        <v>46</v>
      </c>
    </row>
    <row r="86">
      <c r="D86" s="5">
        <v>2935.0</v>
      </c>
      <c r="E86" s="5">
        <v>7844.0</v>
      </c>
      <c r="F86" s="5">
        <v>1063.0</v>
      </c>
      <c r="G86" s="5">
        <v>21328.0</v>
      </c>
      <c r="H86" s="5">
        <v>2312.0</v>
      </c>
      <c r="I86" s="5">
        <v>21577.667</v>
      </c>
    </row>
    <row r="88">
      <c r="A88" s="5" t="s">
        <v>54</v>
      </c>
      <c r="B88" s="5">
        <v>2023.0</v>
      </c>
      <c r="C88" s="2" t="s">
        <v>2</v>
      </c>
      <c r="D88" s="2" t="s">
        <v>3</v>
      </c>
      <c r="E88" s="2" t="s">
        <v>4</v>
      </c>
      <c r="F88" s="2" t="s">
        <v>5</v>
      </c>
      <c r="G88" s="2" t="s">
        <v>6</v>
      </c>
      <c r="H88" s="2" t="s">
        <v>7</v>
      </c>
      <c r="I88" s="2" t="s">
        <v>8</v>
      </c>
      <c r="J88" s="2" t="s">
        <v>9</v>
      </c>
      <c r="L88" s="15" t="s">
        <v>10</v>
      </c>
      <c r="M88" s="5"/>
      <c r="N88" s="5"/>
      <c r="O88" s="5"/>
      <c r="P88" s="5" t="s">
        <v>11</v>
      </c>
      <c r="Q88" s="5" t="s">
        <v>12</v>
      </c>
      <c r="R88" s="5" t="s">
        <v>13</v>
      </c>
      <c r="S88" s="5" t="s">
        <v>14</v>
      </c>
      <c r="T88" s="5" t="s">
        <v>15</v>
      </c>
      <c r="U88" s="5" t="s">
        <v>16</v>
      </c>
      <c r="V88" s="5" t="s">
        <v>17</v>
      </c>
      <c r="W88" s="5" t="s">
        <v>18</v>
      </c>
      <c r="X88" s="5" t="s">
        <v>19</v>
      </c>
      <c r="Y88" s="5" t="s">
        <v>20</v>
      </c>
      <c r="Z88" s="5" t="s">
        <v>21</v>
      </c>
      <c r="AA88" s="5" t="s">
        <v>22</v>
      </c>
      <c r="AB88" s="5" t="s">
        <v>23</v>
      </c>
      <c r="AC88" s="5" t="s">
        <v>24</v>
      </c>
      <c r="AD88" s="5" t="s">
        <v>25</v>
      </c>
      <c r="AE88" s="5" t="s">
        <v>26</v>
      </c>
    </row>
    <row r="89">
      <c r="C89" s="5">
        <v>4.33</v>
      </c>
      <c r="D89" s="5">
        <v>5868.0</v>
      </c>
      <c r="E89" s="5">
        <v>15819.0</v>
      </c>
      <c r="F89" s="5">
        <v>2112.0</v>
      </c>
      <c r="G89" s="5">
        <v>41843.0</v>
      </c>
      <c r="H89" s="5">
        <v>4542.0</v>
      </c>
      <c r="I89" s="5">
        <v>43087.333</v>
      </c>
      <c r="J89" s="5">
        <v>4.69</v>
      </c>
      <c r="L89" s="5">
        <v>5.1</v>
      </c>
      <c r="M89" s="5"/>
      <c r="N89" s="5"/>
      <c r="O89" s="5"/>
      <c r="P89" s="9">
        <f>C89 - (((13*D89)+(3*(E89+F89))-(2*(G89+H89)))/I89)</f>
        <v>3.464153882</v>
      </c>
      <c r="Q89" s="9">
        <f>((13*D91)+(3*(E91+F91))-(2*(G91+H91)))/I91 + P89</f>
        <v>2.97226199</v>
      </c>
      <c r="R89" s="9">
        <f>J89-C89</f>
        <v>0.36</v>
      </c>
      <c r="S89" s="9">
        <f>Q89+R89</f>
        <v>3.33226199</v>
      </c>
      <c r="T89" s="9">
        <f>S89 / (J91/100)</f>
        <v>3.33226199</v>
      </c>
      <c r="U89" s="9">
        <f>((13*D93)+(3*(E93+F93))-(2*(G93+H93)))/I93 + P89</f>
        <v>4.279626658</v>
      </c>
      <c r="V89" s="9">
        <f>U89 + R89</f>
        <v>4.639626658</v>
      </c>
      <c r="W89" s="9">
        <f>V89-T89</f>
        <v>1.307364668</v>
      </c>
      <c r="X89" s="9">
        <f>(((((18-I91/K91)*(V89))+((I91/K91)*T89))/18)+2)*1.5</f>
        <v>9.309272074</v>
      </c>
      <c r="Y89" s="9">
        <f>W89/X89</f>
        <v>0.1404368308</v>
      </c>
      <c r="Z89" s="9">
        <f>0.03*(1-L91/K91)+0.12*(L91/K91)</f>
        <v>0.12</v>
      </c>
      <c r="AA89" s="9">
        <f>Y89+Z89</f>
        <v>0.2604368308</v>
      </c>
      <c r="AB89" s="9">
        <f>AA89*(I91/9)</f>
        <v>5.353423745</v>
      </c>
      <c r="AC89" s="9">
        <f>-0.0007*I91</f>
        <v>-0.1295</v>
      </c>
      <c r="AD89" s="9">
        <f>IF(M91 = "NO", (AB89*((1+N91)/2) + AC89), AB89 + AC89)</f>
        <v>5.223923745</v>
      </c>
      <c r="AE89" s="9">
        <f>ABS(AD89-L89)</f>
        <v>0.123923745</v>
      </c>
    </row>
    <row r="90">
      <c r="D90" s="10" t="s">
        <v>29</v>
      </c>
      <c r="E90" s="10" t="s">
        <v>30</v>
      </c>
      <c r="F90" s="10" t="s">
        <v>31</v>
      </c>
      <c r="G90" s="10" t="s">
        <v>32</v>
      </c>
      <c r="H90" s="10" t="s">
        <v>33</v>
      </c>
      <c r="I90" s="10" t="s">
        <v>34</v>
      </c>
      <c r="J90" s="16" t="s">
        <v>35</v>
      </c>
      <c r="K90" s="10" t="s">
        <v>36</v>
      </c>
      <c r="L90" s="10" t="s">
        <v>37</v>
      </c>
      <c r="M90" s="17" t="s">
        <v>38</v>
      </c>
      <c r="N90" s="17" t="s">
        <v>39</v>
      </c>
      <c r="O90" s="1"/>
    </row>
    <row r="91">
      <c r="D91" s="7">
        <v>19.0</v>
      </c>
      <c r="E91" s="7">
        <v>55.0</v>
      </c>
      <c r="F91" s="7">
        <v>3.0</v>
      </c>
      <c r="G91" s="7">
        <v>237.0</v>
      </c>
      <c r="H91" s="7">
        <v>19.0</v>
      </c>
      <c r="I91" s="7">
        <v>185.0</v>
      </c>
      <c r="J91" s="5">
        <v>100.0</v>
      </c>
      <c r="K91" s="5">
        <v>31.0</v>
      </c>
      <c r="L91" s="5">
        <v>31.0</v>
      </c>
      <c r="M91" s="5" t="s">
        <v>40</v>
      </c>
      <c r="N91" s="5"/>
      <c r="O91" s="5"/>
    </row>
    <row r="92">
      <c r="D92" s="14" t="s">
        <v>41</v>
      </c>
      <c r="E92" s="14" t="s">
        <v>42</v>
      </c>
      <c r="F92" s="14" t="s">
        <v>43</v>
      </c>
      <c r="G92" s="14" t="s">
        <v>44</v>
      </c>
      <c r="H92" s="14" t="s">
        <v>45</v>
      </c>
      <c r="I92" s="14" t="s">
        <v>46</v>
      </c>
    </row>
    <row r="93">
      <c r="D93" s="5">
        <v>2935.0</v>
      </c>
      <c r="E93" s="5">
        <v>7844.0</v>
      </c>
      <c r="F93" s="5">
        <v>1063.0</v>
      </c>
      <c r="G93" s="5">
        <v>21328.0</v>
      </c>
      <c r="H93" s="5">
        <v>2312.0</v>
      </c>
      <c r="I93" s="5">
        <v>21577.667</v>
      </c>
    </row>
    <row r="95">
      <c r="A95" s="5" t="s">
        <v>55</v>
      </c>
      <c r="B95" s="5">
        <v>2022.0</v>
      </c>
      <c r="C95" s="2" t="s">
        <v>2</v>
      </c>
      <c r="D95" s="2" t="s">
        <v>3</v>
      </c>
      <c r="E95" s="2" t="s">
        <v>4</v>
      </c>
      <c r="F95" s="2" t="s">
        <v>5</v>
      </c>
      <c r="G95" s="2" t="s">
        <v>6</v>
      </c>
      <c r="H95" s="2" t="s">
        <v>7</v>
      </c>
      <c r="I95" s="2" t="s">
        <v>8</v>
      </c>
      <c r="J95" s="2" t="s">
        <v>9</v>
      </c>
      <c r="L95" s="15" t="s">
        <v>10</v>
      </c>
      <c r="M95" s="5"/>
      <c r="N95" s="5"/>
      <c r="O95" s="5"/>
      <c r="P95" s="5" t="s">
        <v>11</v>
      </c>
      <c r="Q95" s="5" t="s">
        <v>12</v>
      </c>
      <c r="R95" s="5" t="s">
        <v>13</v>
      </c>
      <c r="S95" s="5" t="s">
        <v>14</v>
      </c>
      <c r="T95" s="5" t="s">
        <v>15</v>
      </c>
      <c r="U95" s="5" t="s">
        <v>16</v>
      </c>
      <c r="V95" s="5" t="s">
        <v>17</v>
      </c>
      <c r="W95" s="5" t="s">
        <v>18</v>
      </c>
      <c r="X95" s="5" t="s">
        <v>19</v>
      </c>
      <c r="Y95" s="5" t="s">
        <v>20</v>
      </c>
      <c r="Z95" s="5" t="s">
        <v>21</v>
      </c>
      <c r="AA95" s="5" t="s">
        <v>22</v>
      </c>
      <c r="AB95" s="5" t="s">
        <v>23</v>
      </c>
      <c r="AC95" s="5" t="s">
        <v>24</v>
      </c>
      <c r="AD95" s="5" t="s">
        <v>25</v>
      </c>
      <c r="AE95" s="5" t="s">
        <v>26</v>
      </c>
    </row>
    <row r="96">
      <c r="C96" s="5">
        <v>3.97</v>
      </c>
      <c r="D96" s="5">
        <v>5215.0</v>
      </c>
      <c r="E96" s="5">
        <v>14853.0</v>
      </c>
      <c r="F96" s="5">
        <v>2056.0</v>
      </c>
      <c r="G96" s="5">
        <v>40812.0</v>
      </c>
      <c r="H96" s="5">
        <v>4674.0</v>
      </c>
      <c r="I96" s="5">
        <v>43075.333</v>
      </c>
      <c r="J96" s="5">
        <v>4.35</v>
      </c>
      <c r="L96" s="5">
        <v>5.9</v>
      </c>
      <c r="M96" s="5"/>
      <c r="N96" s="5"/>
      <c r="O96" s="5"/>
      <c r="P96" s="9">
        <f>C96 - (((13*D96)+(3*(E96+F96))-(2*(G96+H96)))/I96)</f>
        <v>3.33042282</v>
      </c>
      <c r="Q96" s="9">
        <f>((13*D98)+(3*(E98+F98))-(2*(G98+H98)))/I98 + P96</f>
        <v>2.984942274</v>
      </c>
      <c r="R96" s="9">
        <f>J96-C96</f>
        <v>0.38</v>
      </c>
      <c r="S96" s="9">
        <f>Q96+R96</f>
        <v>3.364942274</v>
      </c>
      <c r="T96" s="9">
        <f>S96 / (J98/100)</f>
        <v>3.39893159</v>
      </c>
      <c r="U96" s="9">
        <f>((13*D100)+(3*(E100+F100))-(2*(G100+H100)))/I100 + P96</f>
        <v>4.003157124</v>
      </c>
      <c r="V96" s="9">
        <f>U96 + R96</f>
        <v>4.383157124</v>
      </c>
      <c r="W96" s="9">
        <f>V96-T96</f>
        <v>0.9842255341</v>
      </c>
      <c r="X96" s="9">
        <f>(((((18-I98/K98)*(V96))+((I98/K98)*T96))/18)+2)*1.5</f>
        <v>8.988642196</v>
      </c>
      <c r="Y96" s="9">
        <f>W96/X96</f>
        <v>0.109496575</v>
      </c>
      <c r="Z96" s="9">
        <f>0.03*(1-L98/K98)+0.12*(L98/K98)</f>
        <v>0.12</v>
      </c>
      <c r="AA96" s="9">
        <f>Y96+Z96</f>
        <v>0.229496575</v>
      </c>
      <c r="AB96" s="9">
        <f>AA96*(I98/9)</f>
        <v>5.830921479</v>
      </c>
      <c r="AC96" s="9">
        <f>-0.0007*I98</f>
        <v>-0.1600669</v>
      </c>
      <c r="AD96" s="9">
        <f>IF(M98 = "NO", (AB96*((1+N98)/2) + AC96), AB96 + AC96)</f>
        <v>5.670854579</v>
      </c>
      <c r="AE96" s="9">
        <f>ABS(AD96-L96)</f>
        <v>0.2291454213</v>
      </c>
    </row>
    <row r="97">
      <c r="D97" s="10" t="s">
        <v>29</v>
      </c>
      <c r="E97" s="10" t="s">
        <v>30</v>
      </c>
      <c r="F97" s="10" t="s">
        <v>31</v>
      </c>
      <c r="G97" s="10" t="s">
        <v>32</v>
      </c>
      <c r="H97" s="10" t="s">
        <v>33</v>
      </c>
      <c r="I97" s="10" t="s">
        <v>34</v>
      </c>
      <c r="J97" s="16" t="s">
        <v>35</v>
      </c>
      <c r="K97" s="10" t="s">
        <v>36</v>
      </c>
      <c r="L97" s="10" t="s">
        <v>37</v>
      </c>
      <c r="M97" s="17" t="s">
        <v>38</v>
      </c>
      <c r="N97" s="17" t="s">
        <v>39</v>
      </c>
      <c r="O97" s="1"/>
    </row>
    <row r="98">
      <c r="D98" s="7">
        <v>16.0</v>
      </c>
      <c r="E98" s="7">
        <v>48.0</v>
      </c>
      <c r="F98" s="7">
        <v>9.0</v>
      </c>
      <c r="G98" s="7">
        <v>207.0</v>
      </c>
      <c r="H98" s="7">
        <v>22.0</v>
      </c>
      <c r="I98" s="7">
        <v>228.667</v>
      </c>
      <c r="J98" s="5">
        <v>99.0</v>
      </c>
      <c r="K98" s="5">
        <v>32.0</v>
      </c>
      <c r="L98" s="5">
        <v>32.0</v>
      </c>
      <c r="M98" s="5" t="s">
        <v>40</v>
      </c>
      <c r="N98" s="5"/>
      <c r="O98" s="5"/>
    </row>
    <row r="99">
      <c r="D99" s="14" t="s">
        <v>41</v>
      </c>
      <c r="E99" s="14" t="s">
        <v>42</v>
      </c>
      <c r="F99" s="14" t="s">
        <v>43</v>
      </c>
      <c r="G99" s="14" t="s">
        <v>44</v>
      </c>
      <c r="H99" s="14" t="s">
        <v>45</v>
      </c>
      <c r="I99" s="14" t="s">
        <v>46</v>
      </c>
    </row>
    <row r="100">
      <c r="D100" s="5">
        <v>2636.0</v>
      </c>
      <c r="E100" s="5">
        <v>7567.0</v>
      </c>
      <c r="F100" s="5">
        <v>1082.0</v>
      </c>
      <c r="G100" s="5">
        <v>20642.0</v>
      </c>
      <c r="H100" s="5">
        <v>2228.0</v>
      </c>
      <c r="I100" s="5">
        <v>21516.667</v>
      </c>
    </row>
    <row r="102">
      <c r="A102" s="5" t="s">
        <v>56</v>
      </c>
      <c r="B102" s="5">
        <v>2022.0</v>
      </c>
      <c r="C102" s="2" t="s">
        <v>2</v>
      </c>
      <c r="D102" s="2" t="s">
        <v>3</v>
      </c>
      <c r="E102" s="2" t="s">
        <v>4</v>
      </c>
      <c r="F102" s="2" t="s">
        <v>5</v>
      </c>
      <c r="G102" s="2" t="s">
        <v>6</v>
      </c>
      <c r="H102" s="2" t="s">
        <v>7</v>
      </c>
      <c r="I102" s="2" t="s">
        <v>8</v>
      </c>
      <c r="J102" s="2" t="s">
        <v>9</v>
      </c>
      <c r="L102" s="15" t="s">
        <v>10</v>
      </c>
      <c r="M102" s="5"/>
      <c r="N102" s="5"/>
      <c r="O102" s="5"/>
      <c r="P102" s="5" t="s">
        <v>11</v>
      </c>
      <c r="Q102" s="5" t="s">
        <v>12</v>
      </c>
      <c r="R102" s="5" t="s">
        <v>13</v>
      </c>
      <c r="S102" s="5" t="s">
        <v>14</v>
      </c>
      <c r="T102" s="5" t="s">
        <v>15</v>
      </c>
      <c r="U102" s="5" t="s">
        <v>16</v>
      </c>
      <c r="V102" s="5" t="s">
        <v>17</v>
      </c>
      <c r="W102" s="5" t="s">
        <v>18</v>
      </c>
      <c r="X102" s="5" t="s">
        <v>19</v>
      </c>
      <c r="Y102" s="5" t="s">
        <v>20</v>
      </c>
      <c r="Z102" s="5" t="s">
        <v>21</v>
      </c>
      <c r="AA102" s="5" t="s">
        <v>22</v>
      </c>
      <c r="AB102" s="5" t="s">
        <v>23</v>
      </c>
      <c r="AC102" s="5" t="s">
        <v>24</v>
      </c>
      <c r="AD102" s="5" t="s">
        <v>25</v>
      </c>
      <c r="AE102" s="5" t="s">
        <v>26</v>
      </c>
    </row>
    <row r="103">
      <c r="C103" s="5">
        <v>3.97</v>
      </c>
      <c r="D103" s="5">
        <v>5215.0</v>
      </c>
      <c r="E103" s="5">
        <v>14853.0</v>
      </c>
      <c r="F103" s="5">
        <v>2056.0</v>
      </c>
      <c r="G103" s="5">
        <v>40812.0</v>
      </c>
      <c r="H103" s="5">
        <v>4674.0</v>
      </c>
      <c r="I103" s="5">
        <v>43075.333</v>
      </c>
      <c r="J103" s="5">
        <v>4.35</v>
      </c>
      <c r="L103" s="5">
        <v>6.0</v>
      </c>
      <c r="M103" s="5"/>
      <c r="N103" s="5"/>
      <c r="O103" s="5"/>
      <c r="P103" s="9">
        <f>C103 - (((13*D103)+(3*(E103+F103))-(2*(G103+H103)))/I103)</f>
        <v>3.33042282</v>
      </c>
      <c r="Q103" s="9">
        <f>((13*D105)+(3*(E105+F105))-(2*(G105+H105)))/I105 + P103</f>
        <v>2.273279963</v>
      </c>
      <c r="R103" s="9">
        <f>J103-C103</f>
        <v>0.38</v>
      </c>
      <c r="S103" s="9">
        <f>Q103+R103</f>
        <v>2.653279963</v>
      </c>
      <c r="T103" s="9">
        <f>S103 / (J105/100)</f>
        <v>2.680080771</v>
      </c>
      <c r="U103" s="9">
        <f>((13*D107)+(3*(E107+F107))-(2*(G107+H107)))/I107 + P103</f>
        <v>3.93551589</v>
      </c>
      <c r="V103" s="9">
        <f>U103 + R103</f>
        <v>4.31551589</v>
      </c>
      <c r="W103" s="9">
        <f>V103-T103</f>
        <v>1.635435119</v>
      </c>
      <c r="X103" s="9">
        <f>(((((18-I105/K105)*(V103))+((I105/K105)*T103))/18)+2)*1.5</f>
        <v>8.621484711</v>
      </c>
      <c r="Y103" s="9">
        <f>W103/X103</f>
        <v>0.1896929791</v>
      </c>
      <c r="Z103" s="9">
        <f>0.03*(1-L105/K105)+0.12*(L105/K105)</f>
        <v>0.12</v>
      </c>
      <c r="AA103" s="9">
        <f>Y103+Z103</f>
        <v>0.3096929791</v>
      </c>
      <c r="AB103" s="9">
        <f>AA103*(I105/9)</f>
        <v>6.021807928</v>
      </c>
      <c r="AC103" s="9">
        <f>-0.0007*I105</f>
        <v>-0.1225</v>
      </c>
      <c r="AD103" s="9">
        <f>IF(M105 = "NO", (AB103*((1+N105)/2) + AC103), AB103 + AC103)</f>
        <v>5.899307928</v>
      </c>
      <c r="AE103" s="9">
        <f>ABS(AD103-L103)</f>
        <v>0.1006920721</v>
      </c>
    </row>
    <row r="104">
      <c r="D104" s="10" t="s">
        <v>29</v>
      </c>
      <c r="E104" s="10" t="s">
        <v>30</v>
      </c>
      <c r="F104" s="10" t="s">
        <v>31</v>
      </c>
      <c r="G104" s="10" t="s">
        <v>32</v>
      </c>
      <c r="H104" s="10" t="s">
        <v>33</v>
      </c>
      <c r="I104" s="10" t="s">
        <v>34</v>
      </c>
      <c r="J104" s="16" t="s">
        <v>35</v>
      </c>
      <c r="K104" s="10" t="s">
        <v>36</v>
      </c>
      <c r="L104" s="10" t="s">
        <v>37</v>
      </c>
      <c r="M104" s="17" t="s">
        <v>38</v>
      </c>
      <c r="N104" s="17" t="s">
        <v>39</v>
      </c>
      <c r="O104" s="1"/>
    </row>
    <row r="105">
      <c r="D105" s="7">
        <v>12.0</v>
      </c>
      <c r="E105" s="7">
        <v>29.0</v>
      </c>
      <c r="F105" s="7">
        <v>6.0</v>
      </c>
      <c r="G105" s="7">
        <v>185.0</v>
      </c>
      <c r="H105" s="7">
        <v>38.0</v>
      </c>
      <c r="I105" s="7">
        <v>175.0</v>
      </c>
      <c r="J105" s="5">
        <v>99.0</v>
      </c>
      <c r="K105" s="5">
        <v>28.0</v>
      </c>
      <c r="L105" s="5">
        <v>28.0</v>
      </c>
      <c r="M105" s="5" t="s">
        <v>40</v>
      </c>
      <c r="N105" s="5"/>
      <c r="O105" s="5"/>
    </row>
    <row r="106">
      <c r="D106" s="14" t="s">
        <v>41</v>
      </c>
      <c r="E106" s="14" t="s">
        <v>42</v>
      </c>
      <c r="F106" s="14" t="s">
        <v>43</v>
      </c>
      <c r="G106" s="14" t="s">
        <v>44</v>
      </c>
      <c r="H106" s="14" t="s">
        <v>45</v>
      </c>
      <c r="I106" s="14" t="s">
        <v>46</v>
      </c>
    </row>
    <row r="107">
      <c r="D107" s="5">
        <v>2579.0</v>
      </c>
      <c r="E107" s="5">
        <v>7286.0</v>
      </c>
      <c r="F107" s="5">
        <v>964.0</v>
      </c>
      <c r="G107" s="5">
        <v>20170.0</v>
      </c>
      <c r="H107" s="5">
        <v>2446.0</v>
      </c>
      <c r="I107" s="5">
        <v>21558.667</v>
      </c>
    </row>
    <row r="109">
      <c r="A109" s="5" t="s">
        <v>57</v>
      </c>
      <c r="B109" s="5">
        <v>2021.0</v>
      </c>
      <c r="C109" s="2" t="s">
        <v>2</v>
      </c>
      <c r="D109" s="2" t="s">
        <v>3</v>
      </c>
      <c r="E109" s="2" t="s">
        <v>4</v>
      </c>
      <c r="F109" s="2" t="s">
        <v>5</v>
      </c>
      <c r="G109" s="2" t="s">
        <v>6</v>
      </c>
      <c r="H109" s="2" t="s">
        <v>7</v>
      </c>
      <c r="I109" s="2" t="s">
        <v>8</v>
      </c>
      <c r="J109" s="2" t="s">
        <v>9</v>
      </c>
      <c r="L109" s="15" t="s">
        <v>10</v>
      </c>
      <c r="M109" s="5"/>
      <c r="N109" s="5"/>
      <c r="O109" s="5"/>
      <c r="P109" s="5" t="s">
        <v>11</v>
      </c>
      <c r="Q109" s="5" t="s">
        <v>12</v>
      </c>
      <c r="R109" s="5" t="s">
        <v>13</v>
      </c>
      <c r="S109" s="5" t="s">
        <v>14</v>
      </c>
      <c r="T109" s="5" t="s">
        <v>15</v>
      </c>
      <c r="U109" s="5" t="s">
        <v>16</v>
      </c>
      <c r="V109" s="5" t="s">
        <v>17</v>
      </c>
      <c r="W109" s="5" t="s">
        <v>18</v>
      </c>
      <c r="X109" s="5" t="s">
        <v>19</v>
      </c>
      <c r="Y109" s="5" t="s">
        <v>20</v>
      </c>
      <c r="Z109" s="5" t="s">
        <v>21</v>
      </c>
      <c r="AA109" s="5" t="s">
        <v>22</v>
      </c>
      <c r="AB109" s="5" t="s">
        <v>23</v>
      </c>
      <c r="AC109" s="5" t="s">
        <v>24</v>
      </c>
      <c r="AD109" s="5" t="s">
        <v>25</v>
      </c>
      <c r="AE109" s="5" t="s">
        <v>26</v>
      </c>
    </row>
    <row r="110">
      <c r="C110" s="5">
        <v>4.27</v>
      </c>
      <c r="D110" s="5">
        <v>5944.0</v>
      </c>
      <c r="E110" s="5">
        <v>15794.0</v>
      </c>
      <c r="F110" s="5">
        <v>2112.0</v>
      </c>
      <c r="G110" s="5">
        <v>42145.0</v>
      </c>
      <c r="H110" s="5">
        <v>4363.0</v>
      </c>
      <c r="I110" s="5">
        <v>42615.0</v>
      </c>
      <c r="J110" s="5">
        <v>4.65</v>
      </c>
      <c r="L110" s="5">
        <v>7.5</v>
      </c>
      <c r="M110" s="5"/>
      <c r="N110" s="5"/>
      <c r="O110" s="5"/>
      <c r="P110" s="9">
        <f>C110 - (((13*D110)+(3*(E110+F110))-(2*(G110+H110)))/I110)</f>
        <v>3.378905315</v>
      </c>
      <c r="Q110" s="9">
        <f>((13*D112)+(3*(E112+F112))-(2*(G112+H112)))/I112 + P110</f>
        <v>1.732198728</v>
      </c>
      <c r="R110" s="9">
        <f>J110-C110</f>
        <v>0.38</v>
      </c>
      <c r="S110" s="9">
        <f>Q110+R110</f>
        <v>2.112198728</v>
      </c>
      <c r="T110" s="9">
        <f>S110 / (J112/100)</f>
        <v>2.09128587</v>
      </c>
      <c r="U110" s="9">
        <f>((13*D114)+(3*(E114+F114))-(2*(G114+H114)))/I114 + P110</f>
        <v>4.272469531</v>
      </c>
      <c r="V110" s="9">
        <f>U110 + R110</f>
        <v>4.652469531</v>
      </c>
      <c r="W110" s="9">
        <f>V110-T110</f>
        <v>2.561183661</v>
      </c>
      <c r="X110" s="9">
        <f>(((((18-I112/K112)*(V110))+((I112/K112)*T110))/18)+2)*1.5</f>
        <v>8.705735036</v>
      </c>
      <c r="Y110" s="9">
        <f>W110/X110</f>
        <v>0.2941949934</v>
      </c>
      <c r="Z110" s="9">
        <f>0.03*(1-L112/K112)+0.12*(L112/K112)</f>
        <v>0.12</v>
      </c>
      <c r="AA110" s="9">
        <f>Y110+Z110</f>
        <v>0.4141949934</v>
      </c>
      <c r="AB110" s="9">
        <f>AA110*(I112/9)</f>
        <v>7.685618211</v>
      </c>
      <c r="AC110" s="9">
        <f>-0.0007*I112</f>
        <v>-0.1169</v>
      </c>
      <c r="AD110" s="9">
        <f>IF(M112 = "NO", (AB110*((1+N112)/2) + AC110), AB110 + AC110)</f>
        <v>7.568718211</v>
      </c>
      <c r="AE110" s="9">
        <f>ABS(AD110-L110)</f>
        <v>0.06871821057</v>
      </c>
    </row>
    <row r="111">
      <c r="D111" s="10" t="s">
        <v>29</v>
      </c>
      <c r="E111" s="10" t="s">
        <v>30</v>
      </c>
      <c r="F111" s="10" t="s">
        <v>31</v>
      </c>
      <c r="G111" s="10" t="s">
        <v>32</v>
      </c>
      <c r="H111" s="10" t="s">
        <v>33</v>
      </c>
      <c r="I111" s="10" t="s">
        <v>34</v>
      </c>
      <c r="J111" s="16" t="s">
        <v>35</v>
      </c>
      <c r="K111" s="10" t="s">
        <v>36</v>
      </c>
      <c r="L111" s="10" t="s">
        <v>37</v>
      </c>
      <c r="M111" s="17" t="s">
        <v>38</v>
      </c>
      <c r="N111" s="17" t="s">
        <v>39</v>
      </c>
      <c r="O111" s="1"/>
    </row>
    <row r="112">
      <c r="D112" s="7">
        <v>7.0</v>
      </c>
      <c r="E112" s="7">
        <v>34.0</v>
      </c>
      <c r="F112" s="7">
        <v>6.0</v>
      </c>
      <c r="G112" s="7">
        <v>234.0</v>
      </c>
      <c r="H112" s="7">
        <v>9.0</v>
      </c>
      <c r="I112" s="7">
        <v>167.0</v>
      </c>
      <c r="J112" s="5">
        <v>101.0</v>
      </c>
      <c r="K112" s="5">
        <v>28.0</v>
      </c>
      <c r="L112" s="5">
        <v>28.0</v>
      </c>
      <c r="M112" s="5" t="s">
        <v>40</v>
      </c>
      <c r="N112" s="5"/>
      <c r="O112" s="5"/>
    </row>
    <row r="113">
      <c r="D113" s="14" t="s">
        <v>41</v>
      </c>
      <c r="E113" s="14" t="s">
        <v>42</v>
      </c>
      <c r="F113" s="14" t="s">
        <v>43</v>
      </c>
      <c r="G113" s="14" t="s">
        <v>44</v>
      </c>
      <c r="H113" s="14" t="s">
        <v>45</v>
      </c>
      <c r="I113" s="14" t="s">
        <v>46</v>
      </c>
    </row>
    <row r="114">
      <c r="D114" s="5">
        <v>3043.0</v>
      </c>
      <c r="E114" s="5">
        <v>7741.0</v>
      </c>
      <c r="F114" s="5">
        <v>989.0</v>
      </c>
      <c r="G114" s="5">
        <v>20983.0</v>
      </c>
      <c r="H114" s="5">
        <v>2353.0</v>
      </c>
      <c r="I114" s="5">
        <v>21349.333</v>
      </c>
    </row>
    <row r="116">
      <c r="A116" s="5" t="s">
        <v>58</v>
      </c>
      <c r="B116" s="5">
        <v>2021.0</v>
      </c>
      <c r="C116" s="2" t="s">
        <v>2</v>
      </c>
      <c r="D116" s="2" t="s">
        <v>3</v>
      </c>
      <c r="E116" s="2" t="s">
        <v>4</v>
      </c>
      <c r="F116" s="2" t="s">
        <v>5</v>
      </c>
      <c r="G116" s="2" t="s">
        <v>6</v>
      </c>
      <c r="H116" s="2" t="s">
        <v>7</v>
      </c>
      <c r="I116" s="2" t="s">
        <v>8</v>
      </c>
      <c r="J116" s="2" t="s">
        <v>9</v>
      </c>
      <c r="L116" s="15" t="s">
        <v>10</v>
      </c>
      <c r="M116" s="5"/>
      <c r="N116" s="5"/>
      <c r="O116" s="5"/>
      <c r="P116" s="5" t="s">
        <v>11</v>
      </c>
      <c r="Q116" s="5" t="s">
        <v>12</v>
      </c>
      <c r="R116" s="5" t="s">
        <v>13</v>
      </c>
      <c r="S116" s="5" t="s">
        <v>14</v>
      </c>
      <c r="T116" s="5" t="s">
        <v>15</v>
      </c>
      <c r="U116" s="5" t="s">
        <v>16</v>
      </c>
      <c r="V116" s="5" t="s">
        <v>17</v>
      </c>
      <c r="W116" s="5" t="s">
        <v>18</v>
      </c>
      <c r="X116" s="5" t="s">
        <v>19</v>
      </c>
      <c r="Y116" s="5" t="s">
        <v>20</v>
      </c>
      <c r="Z116" s="5" t="s">
        <v>21</v>
      </c>
      <c r="AA116" s="5" t="s">
        <v>22</v>
      </c>
      <c r="AB116" s="5" t="s">
        <v>23</v>
      </c>
      <c r="AC116" s="5" t="s">
        <v>24</v>
      </c>
      <c r="AD116" s="5" t="s">
        <v>25</v>
      </c>
      <c r="AE116" s="5" t="s">
        <v>26</v>
      </c>
    </row>
    <row r="117">
      <c r="C117" s="5">
        <v>4.27</v>
      </c>
      <c r="D117" s="5">
        <v>5944.0</v>
      </c>
      <c r="E117" s="5">
        <v>15794.0</v>
      </c>
      <c r="F117" s="5">
        <v>2112.0</v>
      </c>
      <c r="G117" s="5">
        <v>42145.0</v>
      </c>
      <c r="H117" s="5">
        <v>4363.0</v>
      </c>
      <c r="I117" s="5">
        <v>42615.0</v>
      </c>
      <c r="J117" s="5">
        <v>4.65</v>
      </c>
      <c r="L117" s="5">
        <v>3.9</v>
      </c>
      <c r="M117" s="5"/>
      <c r="N117" s="5"/>
      <c r="O117" s="5"/>
      <c r="P117" s="9">
        <f>C117 - (((13*D117)+(3*(E117+F117))-(2*(G117+H117)))/I117)</f>
        <v>3.378905315</v>
      </c>
      <c r="Q117" s="9">
        <f>((13*D119)+(3*(E119+F119))-(2*(G119+H119)))/I119 + P117</f>
        <v>3.663388564</v>
      </c>
      <c r="R117" s="9">
        <f>J117-C117</f>
        <v>0.38</v>
      </c>
      <c r="S117" s="9">
        <f>Q117+R117</f>
        <v>4.043388564</v>
      </c>
      <c r="T117" s="9">
        <f>S117 / (J119/100)</f>
        <v>4.084230873</v>
      </c>
      <c r="U117" s="9">
        <f>((13*D121)+(3*(E121+F121))-(2*(G121+H121)))/I121 + P117</f>
        <v>4.272469531</v>
      </c>
      <c r="V117" s="9">
        <f>U117 + R117</f>
        <v>4.652469531</v>
      </c>
      <c r="W117" s="9">
        <f>V117-T117</f>
        <v>0.568238658</v>
      </c>
      <c r="X117" s="9">
        <f>(((((18-I119/K119)*(V117))+((I119/K119)*T117))/18)+2)*1.5</f>
        <v>9.69261241</v>
      </c>
      <c r="Y117" s="9">
        <f>W117/X117</f>
        <v>0.0586259549</v>
      </c>
      <c r="Z117" s="9">
        <f>0.03*(1-L119/K119)+0.12*(L119/K119)</f>
        <v>0.12</v>
      </c>
      <c r="AA117" s="9">
        <f>Y117+Z117</f>
        <v>0.1786259549</v>
      </c>
      <c r="AB117" s="9">
        <f>AA117*(I119/9)</f>
        <v>3.837143526</v>
      </c>
      <c r="AC117" s="9">
        <f>-0.0007*I119</f>
        <v>-0.1353331</v>
      </c>
      <c r="AD117" s="9">
        <f>IF(M119 = "NO", (AB117*((1+N119)/2) + AC117), AB117 + AC117)</f>
        <v>3.701810426</v>
      </c>
      <c r="AE117" s="9">
        <f>ABS(AD117-L117)</f>
        <v>0.1981895735</v>
      </c>
    </row>
    <row r="118">
      <c r="D118" s="10" t="s">
        <v>29</v>
      </c>
      <c r="E118" s="10" t="s">
        <v>30</v>
      </c>
      <c r="F118" s="10" t="s">
        <v>31</v>
      </c>
      <c r="G118" s="10" t="s">
        <v>32</v>
      </c>
      <c r="H118" s="10" t="s">
        <v>33</v>
      </c>
      <c r="I118" s="10" t="s">
        <v>34</v>
      </c>
      <c r="J118" s="16" t="s">
        <v>35</v>
      </c>
      <c r="K118" s="10" t="s">
        <v>36</v>
      </c>
      <c r="L118" s="10" t="s">
        <v>37</v>
      </c>
      <c r="M118" s="17" t="s">
        <v>38</v>
      </c>
      <c r="N118" s="17" t="s">
        <v>39</v>
      </c>
      <c r="O118" s="1"/>
    </row>
    <row r="119">
      <c r="D119" s="7">
        <v>33.0</v>
      </c>
      <c r="E119" s="7">
        <v>52.0</v>
      </c>
      <c r="F119" s="7">
        <v>4.0</v>
      </c>
      <c r="G119" s="7">
        <v>248.0</v>
      </c>
      <c r="H119" s="7">
        <v>23.0</v>
      </c>
      <c r="I119" s="7">
        <v>193.333</v>
      </c>
      <c r="J119" s="5">
        <v>99.0</v>
      </c>
      <c r="K119" s="5">
        <v>32.0</v>
      </c>
      <c r="L119" s="5">
        <v>32.0</v>
      </c>
      <c r="M119" s="5" t="s">
        <v>40</v>
      </c>
      <c r="N119" s="5"/>
      <c r="O119" s="5"/>
    </row>
    <row r="120">
      <c r="D120" s="14" t="s">
        <v>41</v>
      </c>
      <c r="E120" s="14" t="s">
        <v>42</v>
      </c>
      <c r="F120" s="14" t="s">
        <v>43</v>
      </c>
      <c r="G120" s="14" t="s">
        <v>44</v>
      </c>
      <c r="H120" s="14" t="s">
        <v>45</v>
      </c>
      <c r="I120" s="14" t="s">
        <v>46</v>
      </c>
    </row>
    <row r="121">
      <c r="D121" s="5">
        <v>3043.0</v>
      </c>
      <c r="E121" s="5">
        <v>7741.0</v>
      </c>
      <c r="F121" s="5">
        <v>989.0</v>
      </c>
      <c r="G121" s="5">
        <v>20983.0</v>
      </c>
      <c r="H121" s="5">
        <v>2353.0</v>
      </c>
      <c r="I121" s="5">
        <v>21349.333</v>
      </c>
    </row>
    <row r="123">
      <c r="A123" s="5" t="s">
        <v>59</v>
      </c>
      <c r="B123" s="5">
        <v>2022.0</v>
      </c>
      <c r="C123" s="2" t="s">
        <v>2</v>
      </c>
      <c r="D123" s="2" t="s">
        <v>3</v>
      </c>
      <c r="E123" s="2" t="s">
        <v>4</v>
      </c>
      <c r="F123" s="2" t="s">
        <v>5</v>
      </c>
      <c r="G123" s="2" t="s">
        <v>6</v>
      </c>
      <c r="H123" s="2" t="s">
        <v>7</v>
      </c>
      <c r="I123" s="2" t="s">
        <v>8</v>
      </c>
      <c r="J123" s="2" t="s">
        <v>9</v>
      </c>
      <c r="L123" s="15" t="s">
        <v>10</v>
      </c>
      <c r="M123" s="5"/>
      <c r="N123" s="5"/>
      <c r="P123" s="5" t="s">
        <v>11</v>
      </c>
      <c r="Q123" s="5" t="s">
        <v>12</v>
      </c>
      <c r="R123" s="5" t="s">
        <v>13</v>
      </c>
      <c r="S123" s="5" t="s">
        <v>14</v>
      </c>
      <c r="T123" s="5" t="s">
        <v>15</v>
      </c>
      <c r="U123" s="5" t="s">
        <v>16</v>
      </c>
      <c r="V123" s="5" t="s">
        <v>17</v>
      </c>
      <c r="W123" s="5" t="s">
        <v>18</v>
      </c>
      <c r="X123" s="5" t="s">
        <v>19</v>
      </c>
      <c r="Y123" s="5" t="s">
        <v>20</v>
      </c>
      <c r="Z123" s="5" t="s">
        <v>21</v>
      </c>
      <c r="AA123" s="5" t="s">
        <v>22</v>
      </c>
      <c r="AB123" s="5" t="s">
        <v>23</v>
      </c>
      <c r="AC123" s="5" t="s">
        <v>24</v>
      </c>
      <c r="AD123" s="5" t="s">
        <v>25</v>
      </c>
      <c r="AE123" s="5" t="s">
        <v>26</v>
      </c>
    </row>
    <row r="124">
      <c r="C124" s="5">
        <v>3.97</v>
      </c>
      <c r="D124" s="5">
        <v>5215.0</v>
      </c>
      <c r="E124" s="5">
        <v>14853.0</v>
      </c>
      <c r="F124" s="5">
        <v>2056.0</v>
      </c>
      <c r="G124" s="5">
        <v>40812.0</v>
      </c>
      <c r="H124" s="5">
        <v>4674.0</v>
      </c>
      <c r="I124" s="5">
        <v>43075.333</v>
      </c>
      <c r="J124" s="5">
        <v>4.35</v>
      </c>
      <c r="L124" s="5">
        <v>0.6</v>
      </c>
      <c r="M124" s="5"/>
      <c r="N124" s="5"/>
      <c r="P124" s="9">
        <f>C124 - (((13*D124)+(3*(E124+F124))-(2*(G124+H124)))/I124)</f>
        <v>3.33042282</v>
      </c>
      <c r="Q124" s="9">
        <f>((13*D126)+(3*(E126+F126))-(2*(G126+H126)))/I126 + P124</f>
        <v>3.502228231</v>
      </c>
      <c r="R124" s="9">
        <f>J124-C124</f>
        <v>0.38</v>
      </c>
      <c r="S124" s="9">
        <f>Q124+R124</f>
        <v>3.882228231</v>
      </c>
      <c r="T124" s="9">
        <f>S124 / (J126/100)</f>
        <v>4.04398774</v>
      </c>
      <c r="U124" s="9">
        <f>((13*D128)+(3*(E128+F128))-(2*(G128+H128)))/I128 + P124</f>
        <v>4.003157124</v>
      </c>
      <c r="V124" s="9">
        <f>U124 + R124</f>
        <v>4.383157124</v>
      </c>
      <c r="W124" s="9">
        <f>V124-T124</f>
        <v>0.3391693839</v>
      </c>
      <c r="X124" s="9">
        <f>(((((18-I126/K126)*(V124))+((I126/K126)*T124))/18)+2)*1.5</f>
        <v>9.543284792</v>
      </c>
      <c r="Y124" s="9">
        <f>W124/X124</f>
        <v>0.03554010923</v>
      </c>
      <c r="Z124" s="9">
        <f>0.03*(1-L126/K126)+0.12*(L126/K126)</f>
        <v>0.03</v>
      </c>
      <c r="AA124" s="9">
        <f>Y124+Z124</f>
        <v>0.06554010923</v>
      </c>
      <c r="AB124" s="9">
        <f>AA124*(I126/9)</f>
        <v>0.5510248272</v>
      </c>
      <c r="AC124" s="9">
        <f>-0.0007*I126</f>
        <v>-0.0529669</v>
      </c>
      <c r="AD124" s="9">
        <f>IF(M126 = "NO", (AB124*((1+N126)/2) + AC124), AB124 + AC124)</f>
        <v>0.5256091686</v>
      </c>
      <c r="AE124" s="9">
        <f>ABS(AD124-L124)</f>
        <v>0.07439083142</v>
      </c>
    </row>
    <row r="125">
      <c r="D125" s="10" t="s">
        <v>29</v>
      </c>
      <c r="E125" s="10" t="s">
        <v>30</v>
      </c>
      <c r="F125" s="10" t="s">
        <v>31</v>
      </c>
      <c r="G125" s="10" t="s">
        <v>32</v>
      </c>
      <c r="H125" s="10" t="s">
        <v>33</v>
      </c>
      <c r="I125" s="10" t="s">
        <v>34</v>
      </c>
      <c r="J125" s="16" t="s">
        <v>35</v>
      </c>
      <c r="K125" s="10" t="s">
        <v>36</v>
      </c>
      <c r="L125" s="10" t="s">
        <v>37</v>
      </c>
      <c r="M125" s="17" t="s">
        <v>38</v>
      </c>
      <c r="N125" s="17" t="s">
        <v>39</v>
      </c>
    </row>
    <row r="126">
      <c r="D126" s="7">
        <v>3.0</v>
      </c>
      <c r="E126" s="7">
        <v>23.0</v>
      </c>
      <c r="F126" s="7">
        <v>5.0</v>
      </c>
      <c r="G126" s="7">
        <v>49.0</v>
      </c>
      <c r="H126" s="7">
        <v>6.0</v>
      </c>
      <c r="I126" s="7">
        <v>75.667</v>
      </c>
      <c r="J126" s="5">
        <v>96.0</v>
      </c>
      <c r="K126" s="5">
        <v>68.0</v>
      </c>
      <c r="L126" s="5">
        <v>0.0</v>
      </c>
      <c r="M126" s="5" t="s">
        <v>60</v>
      </c>
      <c r="N126" s="5">
        <v>1.1</v>
      </c>
    </row>
    <row r="127">
      <c r="D127" s="14" t="s">
        <v>41</v>
      </c>
      <c r="E127" s="14" t="s">
        <v>42</v>
      </c>
      <c r="F127" s="14" t="s">
        <v>43</v>
      </c>
      <c r="G127" s="14" t="s">
        <v>44</v>
      </c>
      <c r="H127" s="14" t="s">
        <v>45</v>
      </c>
      <c r="I127" s="14" t="s">
        <v>46</v>
      </c>
    </row>
    <row r="128">
      <c r="D128" s="5">
        <v>2636.0</v>
      </c>
      <c r="E128" s="5">
        <v>7567.0</v>
      </c>
      <c r="F128" s="5">
        <v>1082.0</v>
      </c>
      <c r="G128" s="5">
        <v>20642.0</v>
      </c>
      <c r="H128" s="5">
        <v>2228.0</v>
      </c>
      <c r="I128" s="5">
        <v>21516.667</v>
      </c>
    </row>
  </sheetData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61</v>
      </c>
      <c r="S1" s="5" t="s">
        <v>62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</row>
    <row r="2">
      <c r="A2" s="5" t="s">
        <v>47</v>
      </c>
      <c r="B2" s="5">
        <v>2016.0</v>
      </c>
      <c r="C2" s="5">
        <v>4.19</v>
      </c>
      <c r="D2" s="5">
        <v>5610.0</v>
      </c>
      <c r="E2" s="5">
        <v>15088.0</v>
      </c>
      <c r="F2" s="5">
        <v>1651.0</v>
      </c>
      <c r="G2" s="5">
        <v>38982.0</v>
      </c>
      <c r="H2" s="5">
        <v>4234.0</v>
      </c>
      <c r="I2" s="5">
        <v>43306.333</v>
      </c>
      <c r="J2" s="5">
        <v>4.52</v>
      </c>
      <c r="M2" s="9">
        <f>C2-(((13*D2)+(3*(E2+F2))-(2*(G2+H2)))/I2)</f>
        <v>3.34220252</v>
      </c>
      <c r="N2" s="9">
        <f>((13*D4)+(3*(E4+F4))-(2*(G4+H4)))/I4 + M2</f>
        <v>3.837300559</v>
      </c>
      <c r="O2" s="9">
        <f>J2-C2</f>
        <v>0.33</v>
      </c>
      <c r="P2" s="9">
        <f>N2+O2</f>
        <v>4.167300559</v>
      </c>
      <c r="Q2" s="9">
        <f>P2/(J4/100)</f>
        <v>4.167300559</v>
      </c>
      <c r="R2" s="9">
        <f>((13*D6) + (3*(E6+F6))-(2*(G6+H6)))/I6+M2</f>
        <v>4.229111964</v>
      </c>
      <c r="S2" s="9">
        <f>R2+O2</f>
        <v>4.559111964</v>
      </c>
      <c r="T2" s="9">
        <f>S2-Q2</f>
        <v>0.391811405</v>
      </c>
      <c r="U2" s="9">
        <f>(((((18-I4/K4)*(S2))+((I4/K4)*Q2))/18)+2)*1.5</f>
        <v>9.630518137</v>
      </c>
      <c r="V2" s="9">
        <f>T2/U2</f>
        <v>0.04068435358</v>
      </c>
      <c r="W2" s="9">
        <f>0.03*(1-L4/K4)+0.12*(L4/K4)</f>
        <v>0.12</v>
      </c>
      <c r="X2" s="9">
        <f>V2+W2</f>
        <v>0.1606843536</v>
      </c>
      <c r="Y2" s="9">
        <f>X2*(I4/9)</f>
        <v>3.642178681</v>
      </c>
      <c r="Z2" s="9">
        <f>-0.000682902*I4</f>
        <v>-0.139312008</v>
      </c>
      <c r="AA2" s="9">
        <f>Y2+Z2</f>
        <v>3.502866673</v>
      </c>
      <c r="AB2" s="9">
        <f>abs(3.3-AA2)</f>
        <v>0.2028666732</v>
      </c>
    </row>
    <row r="3">
      <c r="D3" s="5" t="s">
        <v>29</v>
      </c>
      <c r="E3" s="5" t="s">
        <v>30</v>
      </c>
      <c r="F3" s="5" t="s">
        <v>63</v>
      </c>
      <c r="G3" s="5" t="s">
        <v>32</v>
      </c>
      <c r="H3" s="5" t="s">
        <v>33</v>
      </c>
      <c r="I3" s="5" t="s">
        <v>34</v>
      </c>
      <c r="J3" s="5" t="s">
        <v>35</v>
      </c>
      <c r="K3" s="5" t="s">
        <v>36</v>
      </c>
      <c r="L3" s="5" t="s">
        <v>37</v>
      </c>
    </row>
    <row r="4">
      <c r="D4" s="5">
        <v>21.0</v>
      </c>
      <c r="E4" s="5">
        <v>54.0</v>
      </c>
      <c r="F4" s="5">
        <v>4.0</v>
      </c>
      <c r="G4" s="5">
        <v>166.0</v>
      </c>
      <c r="H4" s="5">
        <v>7.0</v>
      </c>
      <c r="I4" s="5">
        <v>204.0</v>
      </c>
      <c r="J4" s="5">
        <v>100.0</v>
      </c>
      <c r="K4" s="5">
        <v>32.0</v>
      </c>
      <c r="L4" s="5">
        <v>32.0</v>
      </c>
    </row>
    <row r="5">
      <c r="D5" s="5" t="s">
        <v>64</v>
      </c>
      <c r="E5" s="5" t="s">
        <v>65</v>
      </c>
      <c r="F5" s="5" t="s">
        <v>66</v>
      </c>
      <c r="G5" s="5" t="s">
        <v>67</v>
      </c>
      <c r="H5" s="5" t="s">
        <v>68</v>
      </c>
      <c r="I5" s="5" t="s">
        <v>69</v>
      </c>
    </row>
    <row r="6">
      <c r="D6" s="5">
        <v>2934.0</v>
      </c>
      <c r="E6" s="5">
        <v>7280.0</v>
      </c>
      <c r="F6" s="5">
        <v>771.0</v>
      </c>
      <c r="G6" s="5">
        <v>19244.0</v>
      </c>
      <c r="H6" s="5">
        <v>2320.0</v>
      </c>
      <c r="I6" s="5">
        <v>21611.0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" t="s">
        <v>0</v>
      </c>
      <c r="B1" s="5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L1" s="1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70</v>
      </c>
      <c r="AA1" s="5" t="s">
        <v>71</v>
      </c>
      <c r="AB1" s="5" t="s">
        <v>72</v>
      </c>
      <c r="AC1" s="5" t="s">
        <v>73</v>
      </c>
      <c r="AD1" s="5" t="s">
        <v>74</v>
      </c>
      <c r="AE1" s="5" t="s">
        <v>75</v>
      </c>
      <c r="AF1" s="5" t="s">
        <v>76</v>
      </c>
      <c r="AG1" s="5" t="s">
        <v>77</v>
      </c>
      <c r="AH1" s="5" t="s">
        <v>78</v>
      </c>
    </row>
    <row r="2">
      <c r="A2" s="5" t="s">
        <v>47</v>
      </c>
      <c r="B2" s="5">
        <v>2016.0</v>
      </c>
      <c r="C2" s="5">
        <v>4.19</v>
      </c>
      <c r="D2" s="5">
        <v>5610.0</v>
      </c>
      <c r="E2" s="5">
        <v>15088.0</v>
      </c>
      <c r="F2" s="5">
        <v>1651.0</v>
      </c>
      <c r="G2" s="5">
        <v>38982.0</v>
      </c>
      <c r="H2" s="5">
        <v>4234.0</v>
      </c>
      <c r="I2" s="5">
        <v>43306.333</v>
      </c>
      <c r="J2" s="5">
        <v>4.52</v>
      </c>
      <c r="L2" s="5">
        <v>3.6</v>
      </c>
      <c r="M2" s="9">
        <f>C2 - (((13*D2)+(3*(E2+F2))-(2*(G2+H2)))/I2)</f>
        <v>3.34220252</v>
      </c>
      <c r="N2" s="9">
        <f>((13*D4)+(3*(E4+F4))-(2*(G4+H4)))/I4 + M2</f>
        <v>3.837300559</v>
      </c>
      <c r="O2" s="9">
        <f>J2-C2</f>
        <v>0.33</v>
      </c>
      <c r="P2" s="9">
        <f>N2+O2</f>
        <v>4.167300559</v>
      </c>
      <c r="Q2" s="9">
        <f>P2 / (J4/100)</f>
        <v>4.126040157</v>
      </c>
      <c r="R2" s="9">
        <f>((13*D6)+(3*(E6+F6))-(2*(G6+H6)))/I6 + M2</f>
        <v>4.229111964</v>
      </c>
      <c r="S2" s="9">
        <f>R2 + O2</f>
        <v>4.559111964</v>
      </c>
      <c r="T2" s="9">
        <f>S2-Q2</f>
        <v>0.4330718066</v>
      </c>
      <c r="U2" s="9">
        <f>(((((18-I4/K4)*(S2))+((I4/K4)*Q2))/18)+2)*1.5</f>
        <v>9.608598549</v>
      </c>
      <c r="V2" s="9">
        <f>T2/U2</f>
        <v>0.04507127698</v>
      </c>
      <c r="W2" s="9">
        <f>0.03*(1-L4/K4)+0.12*(L4/K4)</f>
        <v>0.12</v>
      </c>
      <c r="X2" s="9">
        <f>V2+W2</f>
        <v>0.165071277</v>
      </c>
      <c r="Y2" s="9">
        <f>X2*(I4/9)</f>
        <v>3.741615612</v>
      </c>
      <c r="Z2" s="9">
        <f>-0.000682902*I4</f>
        <v>-0.139312008</v>
      </c>
      <c r="AA2" s="9">
        <f>-0.0007*I4</f>
        <v>-0.1428</v>
      </c>
      <c r="AB2" s="9">
        <f>-0.0012*I4</f>
        <v>-0.2448</v>
      </c>
      <c r="AC2" s="9">
        <f>Y2+Z2</f>
        <v>3.602303604</v>
      </c>
      <c r="AD2" s="9">
        <f>Y2 + AA2</f>
        <v>3.598815612</v>
      </c>
      <c r="AE2" s="9">
        <f>Y2+AB2</f>
        <v>3.496815612</v>
      </c>
      <c r="AF2" s="9">
        <f>ABS(AC2-L2)</f>
        <v>0.002303603658</v>
      </c>
      <c r="AG2" s="9">
        <f>abs(AD2-L2)</f>
        <v>0.001184388342</v>
      </c>
      <c r="AH2" s="9">
        <f>abs(AE2-L2)</f>
        <v>0.1031843883</v>
      </c>
    </row>
    <row r="3">
      <c r="D3" s="10" t="s">
        <v>29</v>
      </c>
      <c r="E3" s="10" t="s">
        <v>30</v>
      </c>
      <c r="F3" s="10" t="s">
        <v>31</v>
      </c>
      <c r="G3" s="10" t="s">
        <v>32</v>
      </c>
      <c r="H3" s="10" t="s">
        <v>33</v>
      </c>
      <c r="I3" s="10" t="s">
        <v>34</v>
      </c>
      <c r="J3" s="16" t="s">
        <v>35</v>
      </c>
      <c r="K3" s="10" t="s">
        <v>36</v>
      </c>
      <c r="L3" s="10" t="s">
        <v>37</v>
      </c>
    </row>
    <row r="4">
      <c r="D4" s="5">
        <v>21.0</v>
      </c>
      <c r="E4" s="5">
        <v>54.0</v>
      </c>
      <c r="F4" s="5">
        <v>4.0</v>
      </c>
      <c r="G4" s="5">
        <v>166.0</v>
      </c>
      <c r="H4" s="5">
        <v>7.0</v>
      </c>
      <c r="I4" s="5">
        <v>204.0</v>
      </c>
      <c r="J4" s="15">
        <v>101.0</v>
      </c>
      <c r="K4" s="5">
        <v>32.0</v>
      </c>
      <c r="L4" s="5">
        <v>32.0</v>
      </c>
    </row>
    <row r="5">
      <c r="D5" s="14" t="s">
        <v>41</v>
      </c>
      <c r="E5" s="14" t="s">
        <v>42</v>
      </c>
      <c r="F5" s="14" t="s">
        <v>43</v>
      </c>
      <c r="G5" s="14" t="s">
        <v>44</v>
      </c>
      <c r="H5" s="14" t="s">
        <v>45</v>
      </c>
      <c r="I5" s="14" t="s">
        <v>46</v>
      </c>
    </row>
    <row r="6">
      <c r="D6" s="5">
        <v>2934.0</v>
      </c>
      <c r="E6" s="5">
        <v>7280.0</v>
      </c>
      <c r="F6" s="5">
        <v>771.0</v>
      </c>
      <c r="G6" s="5">
        <v>19244.0</v>
      </c>
      <c r="H6" s="5">
        <v>2320.0</v>
      </c>
      <c r="I6" s="5">
        <v>21611.0</v>
      </c>
    </row>
    <row r="8">
      <c r="A8" s="5" t="s">
        <v>48</v>
      </c>
      <c r="B8" s="5">
        <v>2016.0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L8" s="15" t="s">
        <v>10</v>
      </c>
      <c r="M8" s="5" t="s">
        <v>11</v>
      </c>
      <c r="N8" s="5" t="s">
        <v>12</v>
      </c>
      <c r="O8" s="5" t="s">
        <v>13</v>
      </c>
      <c r="P8" s="5" t="s">
        <v>14</v>
      </c>
      <c r="Q8" s="5" t="s">
        <v>15</v>
      </c>
      <c r="R8" s="5" t="s">
        <v>16</v>
      </c>
      <c r="S8" s="5" t="s">
        <v>17</v>
      </c>
      <c r="T8" s="5" t="s">
        <v>18</v>
      </c>
      <c r="U8" s="5" t="s">
        <v>19</v>
      </c>
      <c r="V8" s="5" t="s">
        <v>20</v>
      </c>
      <c r="W8" s="5" t="s">
        <v>21</v>
      </c>
      <c r="X8" s="5" t="s">
        <v>22</v>
      </c>
      <c r="Y8" s="5" t="s">
        <v>23</v>
      </c>
      <c r="Z8" s="5" t="s">
        <v>24</v>
      </c>
      <c r="AA8" s="5" t="s">
        <v>71</v>
      </c>
      <c r="AB8" s="5" t="s">
        <v>72</v>
      </c>
      <c r="AC8" s="5" t="s">
        <v>25</v>
      </c>
      <c r="AD8" s="5" t="s">
        <v>74</v>
      </c>
      <c r="AE8" s="5" t="s">
        <v>75</v>
      </c>
      <c r="AF8" s="5" t="s">
        <v>26</v>
      </c>
      <c r="AG8" s="5" t="s">
        <v>77</v>
      </c>
      <c r="AH8" s="5" t="s">
        <v>78</v>
      </c>
    </row>
    <row r="9">
      <c r="C9" s="5">
        <v>4.19</v>
      </c>
      <c r="D9" s="5">
        <v>5610.0</v>
      </c>
      <c r="E9" s="5">
        <v>15088.0</v>
      </c>
      <c r="F9" s="5">
        <v>1651.0</v>
      </c>
      <c r="G9" s="5">
        <v>38982.0</v>
      </c>
      <c r="H9" s="5">
        <v>4234.0</v>
      </c>
      <c r="I9" s="5">
        <v>43306.333</v>
      </c>
      <c r="J9" s="5">
        <v>4.52</v>
      </c>
      <c r="L9" s="5">
        <v>5.1</v>
      </c>
      <c r="M9" s="9">
        <f>C9 - (((13*D9)+(3*(E9+F9))-(2*(G9+H9)))/I9)</f>
        <v>3.34220252</v>
      </c>
      <c r="N9" s="9">
        <f>((13*D11)+(3*(E11+F11))-(2*(G11+H11)))/I11 + M9</f>
        <v>3.28839086</v>
      </c>
      <c r="O9" s="9">
        <f>J9-C9</f>
        <v>0.33</v>
      </c>
      <c r="P9" s="9">
        <f>N9+O9</f>
        <v>3.61839086</v>
      </c>
      <c r="Q9" s="9">
        <f>P9 / (J11/100)</f>
        <v>3.654940263</v>
      </c>
      <c r="R9" s="9">
        <f>((13*D13)+(3*(E13+F13))-(2*(G13+H13)))/I13 + M9</f>
        <v>4.229111964</v>
      </c>
      <c r="S9" s="9">
        <f>R9 + O9</f>
        <v>4.559111964</v>
      </c>
      <c r="T9" s="9">
        <f>S9-Q9</f>
        <v>0.9041717008</v>
      </c>
      <c r="U9" s="9">
        <f>(((((18-I11/K11)*(S9))+((I11/K11)*Q9))/18)+2)*1.5</f>
        <v>9.329500549</v>
      </c>
      <c r="V9" s="9">
        <f>T9/U9</f>
        <v>0.09691533819</v>
      </c>
      <c r="W9" s="9">
        <f>0.03*(1-L11/K11)+0.12*(L11/K11)</f>
        <v>0.12</v>
      </c>
      <c r="X9" s="9">
        <f>V9+W9</f>
        <v>0.2169153382</v>
      </c>
      <c r="Y9" s="9">
        <f>X9*(I11/9)</f>
        <v>5.374680046</v>
      </c>
      <c r="Z9" s="9">
        <f>-0.000682902*I11</f>
        <v>-0.152287146</v>
      </c>
      <c r="AA9" s="9">
        <f>-0.0007*I11</f>
        <v>-0.1561</v>
      </c>
      <c r="AB9" s="9">
        <f>-0.0012*I11</f>
        <v>-0.2676</v>
      </c>
      <c r="AC9" s="9">
        <f>Y9+Z9</f>
        <v>5.2223929</v>
      </c>
      <c r="AD9" s="9">
        <f>Y9 + AA9</f>
        <v>5.218580046</v>
      </c>
      <c r="AE9" s="9">
        <f>Y9+AB9</f>
        <v>5.107080046</v>
      </c>
      <c r="AF9" s="9">
        <f>ABS(AC9-L9)</f>
        <v>0.1223929003</v>
      </c>
      <c r="AG9" s="9">
        <f>abs(AD9-L9)</f>
        <v>0.1185800463</v>
      </c>
      <c r="AH9" s="9">
        <f>abs(AE9-L9)</f>
        <v>0.007080046275</v>
      </c>
    </row>
    <row r="10">
      <c r="D10" s="10" t="s">
        <v>29</v>
      </c>
      <c r="E10" s="10" t="s">
        <v>30</v>
      </c>
      <c r="F10" s="10" t="s">
        <v>31</v>
      </c>
      <c r="G10" s="10" t="s">
        <v>32</v>
      </c>
      <c r="H10" s="10" t="s">
        <v>33</v>
      </c>
      <c r="I10" s="10" t="s">
        <v>34</v>
      </c>
      <c r="J10" s="16" t="s">
        <v>35</v>
      </c>
      <c r="K10" s="10" t="s">
        <v>36</v>
      </c>
      <c r="L10" s="10" t="s">
        <v>37</v>
      </c>
    </row>
    <row r="11">
      <c r="D11" s="5">
        <v>23.0</v>
      </c>
      <c r="E11" s="5">
        <v>32.0</v>
      </c>
      <c r="F11" s="5">
        <v>13.0</v>
      </c>
      <c r="G11" s="5">
        <v>189.0</v>
      </c>
      <c r="H11" s="5">
        <v>34.0</v>
      </c>
      <c r="I11" s="5">
        <v>223.0</v>
      </c>
      <c r="J11" s="5">
        <v>99.0</v>
      </c>
      <c r="K11" s="5">
        <v>33.0</v>
      </c>
      <c r="L11" s="5">
        <v>33.0</v>
      </c>
    </row>
    <row r="12">
      <c r="D12" s="14" t="s">
        <v>41</v>
      </c>
      <c r="E12" s="14" t="s">
        <v>42</v>
      </c>
      <c r="F12" s="14" t="s">
        <v>43</v>
      </c>
      <c r="G12" s="14" t="s">
        <v>44</v>
      </c>
      <c r="H12" s="14" t="s">
        <v>45</v>
      </c>
      <c r="I12" s="14" t="s">
        <v>46</v>
      </c>
    </row>
    <row r="13">
      <c r="D13" s="5">
        <v>2934.0</v>
      </c>
      <c r="E13" s="5">
        <v>7280.0</v>
      </c>
      <c r="F13" s="5">
        <v>771.0</v>
      </c>
      <c r="G13" s="5">
        <v>19244.0</v>
      </c>
      <c r="H13" s="5">
        <v>2320.0</v>
      </c>
      <c r="I13" s="5">
        <v>21611.0</v>
      </c>
    </row>
    <row r="15">
      <c r="A15" s="5" t="s">
        <v>49</v>
      </c>
      <c r="B15" s="5">
        <v>2016.0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L15" s="15" t="s">
        <v>10</v>
      </c>
      <c r="M15" s="5" t="s">
        <v>11</v>
      </c>
      <c r="N15" s="5" t="s">
        <v>12</v>
      </c>
      <c r="O15" s="5" t="s">
        <v>13</v>
      </c>
      <c r="P15" s="5" t="s">
        <v>14</v>
      </c>
      <c r="Q15" s="5" t="s">
        <v>15</v>
      </c>
      <c r="R15" s="5" t="s">
        <v>16</v>
      </c>
      <c r="S15" s="5" t="s">
        <v>17</v>
      </c>
      <c r="T15" s="5" t="s">
        <v>18</v>
      </c>
      <c r="U15" s="5" t="s">
        <v>19</v>
      </c>
      <c r="V15" s="5" t="s">
        <v>20</v>
      </c>
      <c r="W15" s="5" t="s">
        <v>21</v>
      </c>
      <c r="X15" s="5" t="s">
        <v>22</v>
      </c>
      <c r="Y15" s="5" t="s">
        <v>23</v>
      </c>
      <c r="Z15" s="5" t="s">
        <v>24</v>
      </c>
      <c r="AA15" s="5" t="s">
        <v>71</v>
      </c>
      <c r="AB15" s="5" t="s">
        <v>72</v>
      </c>
      <c r="AC15" s="5" t="s">
        <v>25</v>
      </c>
      <c r="AD15" s="5" t="s">
        <v>74</v>
      </c>
      <c r="AE15" s="5" t="s">
        <v>75</v>
      </c>
      <c r="AF15" s="5" t="s">
        <v>26</v>
      </c>
      <c r="AG15" s="5" t="s">
        <v>77</v>
      </c>
      <c r="AH15" s="5" t="s">
        <v>78</v>
      </c>
    </row>
    <row r="16">
      <c r="C16" s="5">
        <v>4.19</v>
      </c>
      <c r="D16" s="5">
        <v>5610.0</v>
      </c>
      <c r="E16" s="5">
        <v>15088.0</v>
      </c>
      <c r="F16" s="5">
        <v>1651.0</v>
      </c>
      <c r="G16" s="5">
        <v>38982.0</v>
      </c>
      <c r="H16" s="5">
        <v>4234.0</v>
      </c>
      <c r="I16" s="5">
        <v>43306.333</v>
      </c>
      <c r="J16" s="5">
        <v>4.52</v>
      </c>
      <c r="L16" s="5">
        <v>4.3</v>
      </c>
      <c r="M16" s="9">
        <f>C16 - (((13*D16)+(3*(E16+F16))-(2*(G16+H16)))/I16)</f>
        <v>3.34220252</v>
      </c>
      <c r="N16" s="9">
        <f>((13*D18)+(3*(E18+F18))-(2*(G18+H18)))/I18 + M16</f>
        <v>3.201026257</v>
      </c>
      <c r="O16" s="9">
        <f>J16-C16</f>
        <v>0.33</v>
      </c>
      <c r="P16" s="9">
        <f>N16+O16</f>
        <v>3.531026257</v>
      </c>
      <c r="Q16" s="9">
        <f>P16 / (J18/100)</f>
        <v>3.716869744</v>
      </c>
      <c r="R16" s="9">
        <f>((13*D20)+(3*(E20+F20))-(2*(G20+H20)))/I20 + M16</f>
        <v>4.15104007</v>
      </c>
      <c r="S16" s="9">
        <f>R16 + O16</f>
        <v>4.48104007</v>
      </c>
      <c r="T16" s="9">
        <f>S16-Q16</f>
        <v>0.7641703262</v>
      </c>
      <c r="U16" s="9">
        <f>(((((18-I18/K18)*(S16))+((I18/K18)*Q16))/18)+2)*1.5</f>
        <v>9.297020411</v>
      </c>
      <c r="V16" s="9">
        <f>T16/U16</f>
        <v>0.08219518647</v>
      </c>
      <c r="W16" s="9">
        <f>0.03*(1-L18/K18)+0.12*(L18/K18)</f>
        <v>0.12</v>
      </c>
      <c r="X16" s="9">
        <f>V16+W16</f>
        <v>0.2021951865</v>
      </c>
      <c r="Y16" s="9">
        <f>X16*(I18/9)</f>
        <v>5.092330703</v>
      </c>
      <c r="Z16" s="9">
        <f>-0.000682902*I18</f>
        <v>-0.1547913476</v>
      </c>
      <c r="AA16" s="9">
        <f>-0.0007*I18</f>
        <v>-0.1586669</v>
      </c>
      <c r="AB16" s="9">
        <f>-0.0012*I18</f>
        <v>-0.2720004</v>
      </c>
      <c r="AC16" s="9">
        <f>Y16+Z16</f>
        <v>4.937539356</v>
      </c>
      <c r="AD16" s="9">
        <f>Y16 + AA16</f>
        <v>4.933663803</v>
      </c>
      <c r="AE16" s="9">
        <f>Y16+AB16</f>
        <v>4.820330303</v>
      </c>
      <c r="AF16" s="9">
        <f>ABS(AC16-L16)</f>
        <v>0.6375393558</v>
      </c>
      <c r="AG16" s="9">
        <f>abs(AD16-L16)</f>
        <v>0.6336638034</v>
      </c>
      <c r="AH16" s="9">
        <f>abs(AE16-L16)</f>
        <v>0.5203303034</v>
      </c>
    </row>
    <row r="17">
      <c r="D17" s="10" t="s">
        <v>29</v>
      </c>
      <c r="E17" s="10" t="s">
        <v>30</v>
      </c>
      <c r="F17" s="10" t="s">
        <v>31</v>
      </c>
      <c r="G17" s="10" t="s">
        <v>32</v>
      </c>
      <c r="H17" s="10" t="s">
        <v>33</v>
      </c>
      <c r="I17" s="10" t="s">
        <v>34</v>
      </c>
      <c r="J17" s="16" t="s">
        <v>35</v>
      </c>
      <c r="K17" s="10" t="s">
        <v>36</v>
      </c>
      <c r="L17" s="10" t="s">
        <v>37</v>
      </c>
    </row>
    <row r="18">
      <c r="D18" s="5">
        <v>26.0</v>
      </c>
      <c r="E18" s="5">
        <v>54.0</v>
      </c>
      <c r="F18" s="5">
        <v>8.0</v>
      </c>
      <c r="G18" s="5">
        <v>251.0</v>
      </c>
      <c r="H18" s="5">
        <v>27.0</v>
      </c>
      <c r="I18" s="5">
        <v>226.667</v>
      </c>
      <c r="J18" s="5">
        <v>95.0</v>
      </c>
      <c r="K18" s="5">
        <v>34.0</v>
      </c>
      <c r="L18" s="5">
        <v>34.0</v>
      </c>
    </row>
    <row r="19">
      <c r="D19" s="14" t="s">
        <v>41</v>
      </c>
      <c r="E19" s="14" t="s">
        <v>42</v>
      </c>
      <c r="F19" s="14" t="s">
        <v>43</v>
      </c>
      <c r="G19" s="14" t="s">
        <v>44</v>
      </c>
      <c r="H19" s="14" t="s">
        <v>45</v>
      </c>
      <c r="I19" s="14" t="s">
        <v>46</v>
      </c>
    </row>
    <row r="20">
      <c r="D20" s="5">
        <v>2676.0</v>
      </c>
      <c r="E20" s="5">
        <v>7808.0</v>
      </c>
      <c r="F20" s="5">
        <v>880.0</v>
      </c>
      <c r="G20" s="5">
        <v>19738.0</v>
      </c>
      <c r="H20" s="5">
        <v>1914.0</v>
      </c>
      <c r="I20" s="5">
        <v>21695.333</v>
      </c>
    </row>
    <row r="22">
      <c r="A22" s="5" t="s">
        <v>50</v>
      </c>
      <c r="B22" s="5">
        <v>2008.0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2" t="s">
        <v>9</v>
      </c>
      <c r="L22" s="15" t="s">
        <v>10</v>
      </c>
      <c r="M22" s="5" t="s">
        <v>11</v>
      </c>
      <c r="N22" s="5" t="s">
        <v>12</v>
      </c>
      <c r="O22" s="5" t="s">
        <v>13</v>
      </c>
      <c r="P22" s="5" t="s">
        <v>14</v>
      </c>
      <c r="Q22" s="5" t="s">
        <v>15</v>
      </c>
      <c r="R22" s="5" t="s">
        <v>16</v>
      </c>
      <c r="S22" s="5" t="s">
        <v>17</v>
      </c>
      <c r="T22" s="5" t="s">
        <v>18</v>
      </c>
      <c r="U22" s="5" t="s">
        <v>19</v>
      </c>
      <c r="V22" s="5" t="s">
        <v>20</v>
      </c>
      <c r="W22" s="5" t="s">
        <v>21</v>
      </c>
      <c r="X22" s="5" t="s">
        <v>22</v>
      </c>
      <c r="Y22" s="5" t="s">
        <v>23</v>
      </c>
      <c r="Z22" s="5" t="s">
        <v>24</v>
      </c>
      <c r="AA22" s="5" t="s">
        <v>71</v>
      </c>
      <c r="AB22" s="5" t="s">
        <v>72</v>
      </c>
      <c r="AC22" s="5" t="s">
        <v>25</v>
      </c>
      <c r="AD22" s="5" t="s">
        <v>74</v>
      </c>
      <c r="AE22" s="5" t="s">
        <v>75</v>
      </c>
      <c r="AF22" s="5" t="s">
        <v>26</v>
      </c>
      <c r="AG22" s="5" t="s">
        <v>77</v>
      </c>
      <c r="AH22" s="5" t="s">
        <v>78</v>
      </c>
    </row>
    <row r="23">
      <c r="C23" s="5">
        <v>4.32</v>
      </c>
      <c r="D23" s="5">
        <v>4878.0</v>
      </c>
      <c r="E23" s="5">
        <v>16337.0</v>
      </c>
      <c r="F23" s="5">
        <v>1672.0</v>
      </c>
      <c r="G23" s="5">
        <v>32884.0</v>
      </c>
      <c r="H23" s="5">
        <v>4937.0</v>
      </c>
      <c r="I23" s="5">
        <v>43357.667</v>
      </c>
      <c r="J23" s="5">
        <v>4.69</v>
      </c>
      <c r="L23" s="5">
        <v>7.1</v>
      </c>
      <c r="M23" s="9">
        <f>C23 - (((13*D23)+(3*(E23+F23))-(2*(G23+H23)))/I23)</f>
        <v>3.355949051</v>
      </c>
      <c r="N23" s="9">
        <f>((13*D25)+(3*(E25+F25))-(2*(G25+H25)))/I25 + M23</f>
        <v>2.699561386</v>
      </c>
      <c r="O23" s="9">
        <f>J23-C23</f>
        <v>0.37</v>
      </c>
      <c r="P23" s="9">
        <f>N23+O23</f>
        <v>3.069561386</v>
      </c>
      <c r="Q23" s="9">
        <f>P23 / (J25/100)</f>
        <v>3.132205496</v>
      </c>
      <c r="R23" s="9">
        <f>((13*D27)+(3*(E27+F27))-(2*(G27+H27)))/I27 + M23</f>
        <v>4.327622984</v>
      </c>
      <c r="S23" s="9">
        <f>R23 + O23</f>
        <v>4.697622984</v>
      </c>
      <c r="T23" s="9">
        <f>S23-Q23</f>
        <v>1.565417488</v>
      </c>
      <c r="U23" s="9">
        <f>(((((18-I25/K25)*(S23))+((I25/K25)*Q23))/18)+2)*1.5</f>
        <v>9.175479158</v>
      </c>
      <c r="V23" s="9">
        <f>T23/U23</f>
        <v>0.1706087999</v>
      </c>
      <c r="W23" s="9">
        <f>0.03*(1-L25/K25)+0.12*(L25/K25)</f>
        <v>0.1173529412</v>
      </c>
      <c r="X23" s="9">
        <f>V23+W23</f>
        <v>0.2879617411</v>
      </c>
      <c r="Y23" s="9">
        <f>X23*(I25/9)</f>
        <v>7.263035026</v>
      </c>
      <c r="Z23" s="9">
        <f>-0.000682902*I25</f>
        <v>-0.155018754</v>
      </c>
      <c r="AA23" s="9">
        <f>-0.0007*I25</f>
        <v>-0.1589</v>
      </c>
      <c r="AB23" s="9">
        <f>-0.0012*I25</f>
        <v>-0.2724</v>
      </c>
      <c r="AC23" s="9">
        <f>Y23+Z23</f>
        <v>7.108016272</v>
      </c>
      <c r="AD23" s="9">
        <f>Y23 + AA23</f>
        <v>7.104135026</v>
      </c>
      <c r="AE23" s="9">
        <f>Y23+AB23</f>
        <v>6.990635026</v>
      </c>
      <c r="AF23" s="9">
        <f>ABS(AC23-L23)</f>
        <v>0.008016271723</v>
      </c>
      <c r="AG23" s="9">
        <f>abs(AD23-L23)</f>
        <v>0.004135025723</v>
      </c>
      <c r="AH23" s="9">
        <f>abs(AE23-L23)</f>
        <v>0.1093649743</v>
      </c>
    </row>
    <row r="24">
      <c r="D24" s="10" t="s">
        <v>29</v>
      </c>
      <c r="E24" s="10" t="s">
        <v>30</v>
      </c>
      <c r="F24" s="10" t="s">
        <v>31</v>
      </c>
      <c r="G24" s="10" t="s">
        <v>32</v>
      </c>
      <c r="H24" s="10" t="s">
        <v>33</v>
      </c>
      <c r="I24" s="10" t="s">
        <v>34</v>
      </c>
      <c r="J24" s="16" t="s">
        <v>35</v>
      </c>
      <c r="K24" s="10" t="s">
        <v>36</v>
      </c>
      <c r="L24" s="10" t="s">
        <v>37</v>
      </c>
    </row>
    <row r="25">
      <c r="D25" s="5">
        <v>11.0</v>
      </c>
      <c r="E25" s="5">
        <v>84.0</v>
      </c>
      <c r="F25" s="5">
        <v>6.0</v>
      </c>
      <c r="G25" s="5">
        <v>265.0</v>
      </c>
      <c r="H25" s="5">
        <v>16.0</v>
      </c>
      <c r="I25" s="5">
        <v>227.0</v>
      </c>
      <c r="J25" s="5">
        <v>98.0</v>
      </c>
      <c r="K25" s="5">
        <v>34.0</v>
      </c>
      <c r="L25" s="5">
        <v>33.0</v>
      </c>
    </row>
    <row r="26">
      <c r="D26" s="14" t="s">
        <v>41</v>
      </c>
      <c r="E26" s="14" t="s">
        <v>42</v>
      </c>
      <c r="F26" s="14" t="s">
        <v>43</v>
      </c>
      <c r="G26" s="14" t="s">
        <v>44</v>
      </c>
      <c r="H26" s="14" t="s">
        <v>45</v>
      </c>
      <c r="I26" s="14" t="s">
        <v>46</v>
      </c>
    </row>
    <row r="27">
      <c r="D27" s="5">
        <v>2632.0</v>
      </c>
      <c r="E27" s="5">
        <v>8867.0</v>
      </c>
      <c r="F27" s="5">
        <v>879.0</v>
      </c>
      <c r="G27" s="5">
        <v>17959.0</v>
      </c>
      <c r="H27" s="5">
        <v>2528.0</v>
      </c>
      <c r="I27" s="5">
        <v>23135.333</v>
      </c>
    </row>
    <row r="29">
      <c r="A29" s="5" t="s">
        <v>51</v>
      </c>
      <c r="B29" s="5">
        <v>2023.0</v>
      </c>
      <c r="C29" s="2" t="s">
        <v>2</v>
      </c>
      <c r="D29" s="2" t="s">
        <v>3</v>
      </c>
      <c r="E29" s="2" t="s">
        <v>4</v>
      </c>
      <c r="F29" s="2" t="s">
        <v>5</v>
      </c>
      <c r="G29" s="2" t="s">
        <v>6</v>
      </c>
      <c r="H29" s="2" t="s">
        <v>7</v>
      </c>
      <c r="I29" s="2" t="s">
        <v>8</v>
      </c>
      <c r="J29" s="2" t="s">
        <v>9</v>
      </c>
      <c r="L29" s="15" t="s">
        <v>10</v>
      </c>
      <c r="M29" s="5" t="s">
        <v>11</v>
      </c>
      <c r="N29" s="5" t="s">
        <v>12</v>
      </c>
      <c r="O29" s="5" t="s">
        <v>13</v>
      </c>
      <c r="P29" s="5" t="s">
        <v>14</v>
      </c>
      <c r="Q29" s="5" t="s">
        <v>15</v>
      </c>
      <c r="R29" s="5" t="s">
        <v>16</v>
      </c>
      <c r="S29" s="5" t="s">
        <v>17</v>
      </c>
      <c r="T29" s="5" t="s">
        <v>18</v>
      </c>
      <c r="U29" s="5" t="s">
        <v>19</v>
      </c>
      <c r="V29" s="5" t="s">
        <v>20</v>
      </c>
      <c r="W29" s="5" t="s">
        <v>21</v>
      </c>
      <c r="X29" s="5" t="s">
        <v>22</v>
      </c>
      <c r="Y29" s="5" t="s">
        <v>23</v>
      </c>
      <c r="Z29" s="5" t="s">
        <v>24</v>
      </c>
      <c r="AA29" s="5" t="s">
        <v>71</v>
      </c>
      <c r="AB29" s="5" t="s">
        <v>72</v>
      </c>
      <c r="AC29" s="5" t="s">
        <v>25</v>
      </c>
      <c r="AD29" s="5" t="s">
        <v>74</v>
      </c>
      <c r="AE29" s="5" t="s">
        <v>75</v>
      </c>
      <c r="AF29" s="5" t="s">
        <v>26</v>
      </c>
      <c r="AG29" s="5" t="s">
        <v>77</v>
      </c>
      <c r="AH29" s="5" t="s">
        <v>78</v>
      </c>
    </row>
    <row r="30">
      <c r="C30" s="5">
        <v>4.33</v>
      </c>
      <c r="D30" s="5">
        <v>5868.0</v>
      </c>
      <c r="E30" s="5">
        <v>15819.0</v>
      </c>
      <c r="F30" s="5">
        <v>2112.0</v>
      </c>
      <c r="G30" s="5">
        <v>41843.0</v>
      </c>
      <c r="H30" s="5">
        <v>4542.0</v>
      </c>
      <c r="I30" s="5">
        <v>43087.333</v>
      </c>
      <c r="J30" s="5">
        <v>4.69</v>
      </c>
      <c r="L30" s="5">
        <v>4.9</v>
      </c>
      <c r="M30" s="9">
        <f>C30 - (((13*D30)+(3*(E30+F30))-(2*(G30+H30)))/I30)</f>
        <v>3.464153882</v>
      </c>
      <c r="N30" s="9">
        <f>((13*D32)+(3*(E32+F32))-(2*(G32+H32)))/I32 + M30</f>
        <v>3.288227956</v>
      </c>
      <c r="O30" s="9">
        <f>J30-C30</f>
        <v>0.36</v>
      </c>
      <c r="P30" s="9">
        <f>N30+O30</f>
        <v>3.648227956</v>
      </c>
      <c r="Q30" s="9">
        <f>P30 / (J32/100)</f>
        <v>3.800237455</v>
      </c>
      <c r="R30" s="9">
        <f>((13*D34)+(3*(E34+F34))-(2*(G34+H34)))/I34 + M30</f>
        <v>4.380532551</v>
      </c>
      <c r="S30" s="9">
        <f>R30 + O30</f>
        <v>4.740532551</v>
      </c>
      <c r="T30" s="9">
        <f>S30-Q30</f>
        <v>0.940295096</v>
      </c>
      <c r="U30" s="9">
        <f>(((((18-I32/K32)*(S30))+((I32/K32)*Q30))/18)+2)*1.5</f>
        <v>9.597910592</v>
      </c>
      <c r="V30" s="9">
        <f>T30/U30</f>
        <v>0.0979687284</v>
      </c>
      <c r="W30" s="9">
        <f>0.03*(1-L32/K32)+0.12*(L32/K32)</f>
        <v>0.12</v>
      </c>
      <c r="X30" s="9">
        <f>V30+W30</f>
        <v>0.2179687284</v>
      </c>
      <c r="Y30" s="9">
        <f>X30*(I32/9)</f>
        <v>5.231249482</v>
      </c>
      <c r="Z30" s="9">
        <f>-0.000682902*I32</f>
        <v>-0.147506832</v>
      </c>
      <c r="AA30" s="9">
        <f>-0.0007*I32</f>
        <v>-0.1512</v>
      </c>
      <c r="AB30" s="9">
        <f>-0.0012*I32</f>
        <v>-0.2592</v>
      </c>
      <c r="AC30" s="9">
        <f>Y30+Z30</f>
        <v>5.08374265</v>
      </c>
      <c r="AD30" s="9">
        <f>Y30 + AA30</f>
        <v>5.080049482</v>
      </c>
      <c r="AE30" s="9">
        <f>Y30+AB30</f>
        <v>4.972049482</v>
      </c>
      <c r="AF30" s="9">
        <f>ABS(AC30-L30)</f>
        <v>0.1837426497</v>
      </c>
      <c r="AG30" s="9">
        <f>abs(AD30-L30)</f>
        <v>0.1800494817</v>
      </c>
      <c r="AH30" s="9">
        <f>abs(AE30-L30)</f>
        <v>0.07204948169</v>
      </c>
    </row>
    <row r="31">
      <c r="D31" s="10" t="s">
        <v>29</v>
      </c>
      <c r="E31" s="10" t="s">
        <v>30</v>
      </c>
      <c r="F31" s="10" t="s">
        <v>31</v>
      </c>
      <c r="G31" s="10" t="s">
        <v>32</v>
      </c>
      <c r="H31" s="10" t="s">
        <v>33</v>
      </c>
      <c r="I31" s="10" t="s">
        <v>34</v>
      </c>
      <c r="J31" s="16" t="s">
        <v>35</v>
      </c>
      <c r="K31" s="10" t="s">
        <v>36</v>
      </c>
      <c r="L31" s="10" t="s">
        <v>37</v>
      </c>
    </row>
    <row r="32">
      <c r="D32" s="5">
        <v>20.0</v>
      </c>
      <c r="E32" s="5">
        <v>31.0</v>
      </c>
      <c r="F32" s="5">
        <v>5.0</v>
      </c>
      <c r="G32" s="5">
        <v>194.0</v>
      </c>
      <c r="H32" s="5">
        <v>9.0</v>
      </c>
      <c r="I32" s="5">
        <v>216.0</v>
      </c>
      <c r="J32" s="5">
        <v>96.0</v>
      </c>
      <c r="K32" s="5">
        <v>33.0</v>
      </c>
      <c r="L32" s="5">
        <v>33.0</v>
      </c>
    </row>
    <row r="33">
      <c r="D33" s="14" t="s">
        <v>41</v>
      </c>
      <c r="E33" s="14" t="s">
        <v>42</v>
      </c>
      <c r="F33" s="14" t="s">
        <v>43</v>
      </c>
      <c r="G33" s="14" t="s">
        <v>44</v>
      </c>
      <c r="H33" s="14" t="s">
        <v>45</v>
      </c>
      <c r="I33" s="14" t="s">
        <v>46</v>
      </c>
    </row>
    <row r="34">
      <c r="D34" s="5">
        <v>2933.0</v>
      </c>
      <c r="E34" s="5">
        <v>7975.0</v>
      </c>
      <c r="F34" s="5">
        <v>1049.0</v>
      </c>
      <c r="G34" s="5">
        <v>20515.0</v>
      </c>
      <c r="H34" s="5">
        <v>2230.0</v>
      </c>
      <c r="I34" s="5">
        <v>21509.667</v>
      </c>
    </row>
    <row r="36">
      <c r="A36" s="5" t="s">
        <v>52</v>
      </c>
      <c r="B36" s="5">
        <v>2023.0</v>
      </c>
      <c r="C36" s="2" t="s">
        <v>2</v>
      </c>
      <c r="D36" s="2" t="s">
        <v>3</v>
      </c>
      <c r="E36" s="2" t="s">
        <v>4</v>
      </c>
      <c r="F36" s="2" t="s">
        <v>5</v>
      </c>
      <c r="G36" s="2" t="s">
        <v>6</v>
      </c>
      <c r="H36" s="2" t="s">
        <v>7</v>
      </c>
      <c r="I36" s="2" t="s">
        <v>8</v>
      </c>
      <c r="J36" s="2" t="s">
        <v>9</v>
      </c>
      <c r="L36" s="15" t="s">
        <v>10</v>
      </c>
      <c r="M36" s="5" t="s">
        <v>11</v>
      </c>
      <c r="N36" s="5" t="s">
        <v>12</v>
      </c>
      <c r="O36" s="5" t="s">
        <v>13</v>
      </c>
      <c r="P36" s="5" t="s">
        <v>14</v>
      </c>
      <c r="Q36" s="5" t="s">
        <v>15</v>
      </c>
      <c r="R36" s="5" t="s">
        <v>16</v>
      </c>
      <c r="S36" s="5" t="s">
        <v>17</v>
      </c>
      <c r="T36" s="5" t="s">
        <v>18</v>
      </c>
      <c r="U36" s="5" t="s">
        <v>19</v>
      </c>
      <c r="V36" s="5" t="s">
        <v>20</v>
      </c>
      <c r="W36" s="5" t="s">
        <v>21</v>
      </c>
      <c r="X36" s="5" t="s">
        <v>22</v>
      </c>
      <c r="Y36" s="5" t="s">
        <v>23</v>
      </c>
      <c r="Z36" s="5" t="s">
        <v>24</v>
      </c>
      <c r="AA36" s="5" t="s">
        <v>71</v>
      </c>
      <c r="AB36" s="5" t="s">
        <v>72</v>
      </c>
      <c r="AC36" s="5" t="s">
        <v>25</v>
      </c>
      <c r="AD36" s="5" t="s">
        <v>74</v>
      </c>
      <c r="AE36" s="5" t="s">
        <v>75</v>
      </c>
      <c r="AF36" s="5" t="s">
        <v>26</v>
      </c>
      <c r="AG36" s="5" t="s">
        <v>77</v>
      </c>
      <c r="AH36" s="5" t="s">
        <v>78</v>
      </c>
    </row>
    <row r="37">
      <c r="C37" s="5">
        <v>4.33</v>
      </c>
      <c r="D37" s="5">
        <v>5868.0</v>
      </c>
      <c r="E37" s="5">
        <v>15819.0</v>
      </c>
      <c r="F37" s="5">
        <v>2112.0</v>
      </c>
      <c r="G37" s="5">
        <v>41843.0</v>
      </c>
      <c r="H37" s="5">
        <v>4542.0</v>
      </c>
      <c r="I37" s="5">
        <v>43087.333</v>
      </c>
      <c r="J37" s="5">
        <v>4.69</v>
      </c>
      <c r="L37" s="5">
        <v>4.2</v>
      </c>
      <c r="M37" s="9">
        <f>C37 - (((13*D37)+(3*(E37+F37))-(2*(G37+H37)))/I37)</f>
        <v>3.464153882</v>
      </c>
      <c r="N37" s="9">
        <f>((13*D39)+(3*(E39+F39))-(2*(G39+H39)))/I39 + M37</f>
        <v>3.536376105</v>
      </c>
      <c r="O37" s="9">
        <f>J37-C37</f>
        <v>0.36</v>
      </c>
      <c r="P37" s="9">
        <f>N37+O37</f>
        <v>3.896376105</v>
      </c>
      <c r="Q37" s="9">
        <f>P37 / (J39/100)</f>
        <v>3.896376105</v>
      </c>
      <c r="R37" s="9">
        <f>((13*D41)+(3*(E41+F41))-(2*(G41+H41)))/I41 + M37</f>
        <v>4.380532551</v>
      </c>
      <c r="S37" s="9">
        <f>R37 + O37</f>
        <v>4.740532551</v>
      </c>
      <c r="T37" s="9">
        <f>S37-Q37</f>
        <v>0.844156446</v>
      </c>
      <c r="U37" s="9">
        <f>(((((18-I39/K39)*(S37))+((I39/K39)*Q37))/18)+2)*1.5</f>
        <v>9.715100492</v>
      </c>
      <c r="V37" s="9">
        <f>T37/U37</f>
        <v>0.08689116976</v>
      </c>
      <c r="W37" s="9">
        <f>0.03*(1-L39/K39)+0.12*(L39/K39)</f>
        <v>0.12</v>
      </c>
      <c r="X37" s="9">
        <f>V37+W37</f>
        <v>0.2068911698</v>
      </c>
      <c r="Y37" s="9">
        <f>X37*(I39/9)</f>
        <v>4.137823395</v>
      </c>
      <c r="Z37" s="9">
        <f>-0.000682902*I39</f>
        <v>-0.12292236</v>
      </c>
      <c r="AA37" s="9">
        <f>-0.0007*I39</f>
        <v>-0.126</v>
      </c>
      <c r="AB37" s="9">
        <f>-0.0012*I39</f>
        <v>-0.216</v>
      </c>
      <c r="AC37" s="9">
        <f>Y37+Z37</f>
        <v>4.014901035</v>
      </c>
      <c r="AD37" s="9">
        <f>Y37 + AA37</f>
        <v>4.011823395</v>
      </c>
      <c r="AE37" s="9">
        <f>Y37+AB37</f>
        <v>3.921823395</v>
      </c>
      <c r="AF37" s="9">
        <f>ABS(AC37-L37)</f>
        <v>0.1850989649</v>
      </c>
      <c r="AG37" s="9">
        <f>abs(AD37-L37)</f>
        <v>0.1881766049</v>
      </c>
      <c r="AH37" s="9">
        <f>abs(AE37-L37)</f>
        <v>0.2781766049</v>
      </c>
    </row>
    <row r="38">
      <c r="D38" s="10" t="s">
        <v>29</v>
      </c>
      <c r="E38" s="10" t="s">
        <v>30</v>
      </c>
      <c r="F38" s="10" t="s">
        <v>31</v>
      </c>
      <c r="G38" s="10" t="s">
        <v>32</v>
      </c>
      <c r="H38" s="10" t="s">
        <v>33</v>
      </c>
      <c r="I38" s="10" t="s">
        <v>34</v>
      </c>
      <c r="J38" s="16" t="s">
        <v>35</v>
      </c>
      <c r="K38" s="10" t="s">
        <v>36</v>
      </c>
      <c r="L38" s="10" t="s">
        <v>37</v>
      </c>
    </row>
    <row r="39">
      <c r="D39" s="8">
        <v>15.0</v>
      </c>
      <c r="E39" s="8">
        <v>99.0</v>
      </c>
      <c r="F39" s="8">
        <v>3.0</v>
      </c>
      <c r="G39" s="8">
        <v>234.0</v>
      </c>
      <c r="H39" s="8">
        <v>10.0</v>
      </c>
      <c r="I39" s="8">
        <v>180.0</v>
      </c>
      <c r="J39" s="5">
        <v>100.0</v>
      </c>
      <c r="K39" s="5">
        <v>32.0</v>
      </c>
      <c r="L39" s="5">
        <v>32.0</v>
      </c>
    </row>
    <row r="40">
      <c r="D40" s="14" t="s">
        <v>41</v>
      </c>
      <c r="E40" s="14" t="s">
        <v>42</v>
      </c>
      <c r="F40" s="14" t="s">
        <v>43</v>
      </c>
      <c r="G40" s="14" t="s">
        <v>44</v>
      </c>
      <c r="H40" s="14" t="s">
        <v>45</v>
      </c>
      <c r="I40" s="14" t="s">
        <v>46</v>
      </c>
    </row>
    <row r="41">
      <c r="D41" s="5">
        <v>2933.0</v>
      </c>
      <c r="E41" s="5">
        <v>7975.0</v>
      </c>
      <c r="F41" s="5">
        <v>1049.0</v>
      </c>
      <c r="G41" s="5">
        <v>20515.0</v>
      </c>
      <c r="H41" s="5">
        <v>2230.0</v>
      </c>
      <c r="I41" s="5">
        <v>21509.667</v>
      </c>
    </row>
    <row r="43">
      <c r="A43" s="5" t="s">
        <v>53</v>
      </c>
      <c r="B43" s="5">
        <v>2023.0</v>
      </c>
      <c r="C43" s="2" t="s">
        <v>2</v>
      </c>
      <c r="D43" s="2" t="s">
        <v>3</v>
      </c>
      <c r="E43" s="2" t="s">
        <v>4</v>
      </c>
      <c r="F43" s="2" t="s">
        <v>5</v>
      </c>
      <c r="G43" s="2" t="s">
        <v>6</v>
      </c>
      <c r="H43" s="2" t="s">
        <v>7</v>
      </c>
      <c r="I43" s="2" t="s">
        <v>8</v>
      </c>
      <c r="J43" s="2" t="s">
        <v>9</v>
      </c>
      <c r="L43" s="15" t="s">
        <v>10</v>
      </c>
      <c r="M43" s="5" t="s">
        <v>11</v>
      </c>
      <c r="N43" s="5" t="s">
        <v>12</v>
      </c>
      <c r="O43" s="5" t="s">
        <v>13</v>
      </c>
      <c r="P43" s="5" t="s">
        <v>14</v>
      </c>
      <c r="Q43" s="5" t="s">
        <v>15</v>
      </c>
      <c r="R43" s="5" t="s">
        <v>16</v>
      </c>
      <c r="S43" s="5" t="s">
        <v>17</v>
      </c>
      <c r="T43" s="5" t="s">
        <v>18</v>
      </c>
      <c r="U43" s="5" t="s">
        <v>19</v>
      </c>
      <c r="V43" s="5" t="s">
        <v>20</v>
      </c>
      <c r="W43" s="5" t="s">
        <v>21</v>
      </c>
      <c r="X43" s="5" t="s">
        <v>22</v>
      </c>
      <c r="Y43" s="5" t="s">
        <v>23</v>
      </c>
      <c r="Z43" s="5" t="s">
        <v>24</v>
      </c>
      <c r="AA43" s="5" t="s">
        <v>71</v>
      </c>
      <c r="AB43" s="5" t="s">
        <v>72</v>
      </c>
      <c r="AC43" s="5" t="s">
        <v>25</v>
      </c>
      <c r="AD43" s="5" t="s">
        <v>74</v>
      </c>
      <c r="AE43" s="5" t="s">
        <v>75</v>
      </c>
      <c r="AF43" s="5" t="s">
        <v>26</v>
      </c>
      <c r="AG43" s="5" t="s">
        <v>77</v>
      </c>
      <c r="AH43" s="5" t="s">
        <v>78</v>
      </c>
    </row>
    <row r="44">
      <c r="C44" s="5">
        <v>4.33</v>
      </c>
      <c r="D44" s="5">
        <v>5868.0</v>
      </c>
      <c r="E44" s="5">
        <v>15819.0</v>
      </c>
      <c r="F44" s="5">
        <v>2112.0</v>
      </c>
      <c r="G44" s="5">
        <v>41843.0</v>
      </c>
      <c r="H44" s="5">
        <v>4542.0</v>
      </c>
      <c r="I44" s="5">
        <v>43087.333</v>
      </c>
      <c r="J44" s="5">
        <v>4.69</v>
      </c>
      <c r="L44" s="5">
        <v>5.4</v>
      </c>
      <c r="M44" s="9">
        <f>C44 - (((13*D44)+(3*(E44+F44))-(2*(G44+H44)))/I44)</f>
        <v>3.464153882</v>
      </c>
      <c r="N44" s="9">
        <f>((13*D46)+(3*(E46+F46))-(2*(G46+H46)))/I46 + M44</f>
        <v>3.200995988</v>
      </c>
      <c r="O44" s="9">
        <f>J44-C44</f>
        <v>0.36</v>
      </c>
      <c r="P44" s="9">
        <f>N44+O44</f>
        <v>3.560995988</v>
      </c>
      <c r="Q44" s="9">
        <f>P44 / (J46/100)</f>
        <v>3.457277658</v>
      </c>
      <c r="R44" s="9">
        <f>((13*D48)+(3*(E48+F48))-(2*(G48+H48)))/I48 + M44</f>
        <v>4.279626658</v>
      </c>
      <c r="S44" s="9">
        <f>R44 + O44</f>
        <v>4.639626658</v>
      </c>
      <c r="T44" s="9">
        <f>S44-Q44</f>
        <v>1.182349</v>
      </c>
      <c r="U44" s="9">
        <f>(((((18-I46/K46)*(S44))+((I46/K46)*Q44))/18)+2)*1.5</f>
        <v>9.335422459</v>
      </c>
      <c r="V44" s="9">
        <f>T44/U44</f>
        <v>0.1266519009</v>
      </c>
      <c r="W44" s="9">
        <f>0.03*(1-L46/K46)+0.12*(L46/K46)</f>
        <v>0.12</v>
      </c>
      <c r="X44" s="9">
        <f>V44+W44</f>
        <v>0.2466519009</v>
      </c>
      <c r="Y44" s="9">
        <f>X44*(I46/9)</f>
        <v>5.727805254</v>
      </c>
      <c r="Z44" s="9">
        <f>-0.000682902*I46</f>
        <v>-0.142726518</v>
      </c>
      <c r="AA44" s="9">
        <f>-0.0007*I46</f>
        <v>-0.1463</v>
      </c>
      <c r="AB44" s="9">
        <f>-0.0012*I46</f>
        <v>-0.2508</v>
      </c>
      <c r="AC44" s="9">
        <f>Y44+Z44</f>
        <v>5.585078736</v>
      </c>
      <c r="AD44" s="9">
        <f>Y44 + AA44</f>
        <v>5.581505254</v>
      </c>
      <c r="AE44" s="9">
        <f>Y44+AB44</f>
        <v>5.477005254</v>
      </c>
      <c r="AF44" s="9">
        <f>ABS(AC44-L44)</f>
        <v>0.1850787361</v>
      </c>
      <c r="AG44" s="9">
        <f>abs(AD44-L44)</f>
        <v>0.1815052541</v>
      </c>
      <c r="AH44" s="9">
        <f>abs(AE44-L44)</f>
        <v>0.07700525411</v>
      </c>
    </row>
    <row r="45">
      <c r="D45" s="10" t="s">
        <v>29</v>
      </c>
      <c r="E45" s="10" t="s">
        <v>30</v>
      </c>
      <c r="F45" s="10" t="s">
        <v>31</v>
      </c>
      <c r="G45" s="10" t="s">
        <v>32</v>
      </c>
      <c r="H45" s="10" t="s">
        <v>33</v>
      </c>
      <c r="I45" s="10" t="s">
        <v>34</v>
      </c>
      <c r="J45" s="16" t="s">
        <v>35</v>
      </c>
      <c r="K45" s="10" t="s">
        <v>36</v>
      </c>
      <c r="L45" s="10" t="s">
        <v>37</v>
      </c>
    </row>
    <row r="46">
      <c r="D46" s="7">
        <v>20.0</v>
      </c>
      <c r="E46" s="7">
        <v>48.0</v>
      </c>
      <c r="F46" s="7">
        <v>7.0</v>
      </c>
      <c r="G46" s="7">
        <v>222.0</v>
      </c>
      <c r="H46" s="7">
        <v>18.0</v>
      </c>
      <c r="I46" s="7">
        <v>209.0</v>
      </c>
      <c r="J46" s="5">
        <v>103.0</v>
      </c>
      <c r="K46" s="5">
        <v>33.0</v>
      </c>
      <c r="L46" s="5">
        <v>33.0</v>
      </c>
    </row>
    <row r="47">
      <c r="D47" s="14" t="s">
        <v>41</v>
      </c>
      <c r="E47" s="14" t="s">
        <v>42</v>
      </c>
      <c r="F47" s="14" t="s">
        <v>43</v>
      </c>
      <c r="G47" s="14" t="s">
        <v>44</v>
      </c>
      <c r="H47" s="14" t="s">
        <v>45</v>
      </c>
      <c r="I47" s="14" t="s">
        <v>46</v>
      </c>
    </row>
    <row r="48">
      <c r="D48" s="5">
        <v>2935.0</v>
      </c>
      <c r="E48" s="5">
        <v>7844.0</v>
      </c>
      <c r="F48" s="5">
        <v>1063.0</v>
      </c>
      <c r="G48" s="5">
        <v>21328.0</v>
      </c>
      <c r="H48" s="5">
        <v>2312.0</v>
      </c>
      <c r="I48" s="5">
        <v>21577.667</v>
      </c>
    </row>
    <row r="50">
      <c r="A50" s="5" t="s">
        <v>54</v>
      </c>
      <c r="B50" s="5">
        <v>2023.0</v>
      </c>
      <c r="C50" s="2" t="s">
        <v>2</v>
      </c>
      <c r="D50" s="2" t="s">
        <v>3</v>
      </c>
      <c r="E50" s="2" t="s">
        <v>4</v>
      </c>
      <c r="F50" s="2" t="s">
        <v>5</v>
      </c>
      <c r="G50" s="2" t="s">
        <v>6</v>
      </c>
      <c r="H50" s="2" t="s">
        <v>7</v>
      </c>
      <c r="I50" s="2" t="s">
        <v>8</v>
      </c>
      <c r="J50" s="2" t="s">
        <v>9</v>
      </c>
      <c r="L50" s="15" t="s">
        <v>10</v>
      </c>
      <c r="M50" s="5" t="s">
        <v>11</v>
      </c>
      <c r="N50" s="5" t="s">
        <v>12</v>
      </c>
      <c r="O50" s="5" t="s">
        <v>13</v>
      </c>
      <c r="P50" s="5" t="s">
        <v>14</v>
      </c>
      <c r="Q50" s="5" t="s">
        <v>15</v>
      </c>
      <c r="R50" s="5" t="s">
        <v>16</v>
      </c>
      <c r="S50" s="5" t="s">
        <v>17</v>
      </c>
      <c r="T50" s="5" t="s">
        <v>18</v>
      </c>
      <c r="U50" s="5" t="s">
        <v>19</v>
      </c>
      <c r="V50" s="5" t="s">
        <v>20</v>
      </c>
      <c r="W50" s="5" t="s">
        <v>21</v>
      </c>
      <c r="X50" s="5" t="s">
        <v>22</v>
      </c>
      <c r="Y50" s="5" t="s">
        <v>23</v>
      </c>
      <c r="Z50" s="5" t="s">
        <v>24</v>
      </c>
      <c r="AA50" s="5" t="s">
        <v>71</v>
      </c>
      <c r="AB50" s="5" t="s">
        <v>72</v>
      </c>
      <c r="AC50" s="5" t="s">
        <v>25</v>
      </c>
      <c r="AD50" s="5" t="s">
        <v>74</v>
      </c>
      <c r="AE50" s="5" t="s">
        <v>75</v>
      </c>
      <c r="AF50" s="5" t="s">
        <v>26</v>
      </c>
      <c r="AG50" s="5" t="s">
        <v>77</v>
      </c>
      <c r="AH50" s="5" t="s">
        <v>78</v>
      </c>
    </row>
    <row r="51">
      <c r="C51" s="5">
        <v>4.33</v>
      </c>
      <c r="D51" s="5">
        <v>5868.0</v>
      </c>
      <c r="E51" s="5">
        <v>15819.0</v>
      </c>
      <c r="F51" s="5">
        <v>2112.0</v>
      </c>
      <c r="G51" s="5">
        <v>41843.0</v>
      </c>
      <c r="H51" s="5">
        <v>4542.0</v>
      </c>
      <c r="I51" s="5">
        <v>43087.333</v>
      </c>
      <c r="J51" s="5">
        <v>4.69</v>
      </c>
      <c r="L51" s="5">
        <v>5.1</v>
      </c>
      <c r="M51" s="9">
        <f>C51 - (((13*D51)+(3*(E51+F51))-(2*(G51+H51)))/I51)</f>
        <v>3.464153882</v>
      </c>
      <c r="N51" s="9">
        <f>((13*D53)+(3*(E53+F53))-(2*(G53+H53)))/I53 + M51</f>
        <v>2.97226199</v>
      </c>
      <c r="O51" s="9">
        <f>J51-C51</f>
        <v>0.36</v>
      </c>
      <c r="P51" s="9">
        <f>N51+O51</f>
        <v>3.33226199</v>
      </c>
      <c r="Q51" s="9">
        <f>P51 / (J53/100)</f>
        <v>3.33226199</v>
      </c>
      <c r="R51" s="9">
        <f>((13*D55)+(3*(E55+F55))-(2*(G55+H55)))/I55 + M51</f>
        <v>4.279626658</v>
      </c>
      <c r="S51" s="9">
        <f>R51 + O51</f>
        <v>4.639626658</v>
      </c>
      <c r="T51" s="9">
        <f>S51-Q51</f>
        <v>1.307364668</v>
      </c>
      <c r="U51" s="9">
        <f>(((((18-I53/K53)*(S51))+((I53/K53)*Q51))/18)+2)*1.5</f>
        <v>9.309272074</v>
      </c>
      <c r="V51" s="9">
        <f>T51/U51</f>
        <v>0.1404368308</v>
      </c>
      <c r="W51" s="9">
        <f>0.03*(1-L53/K53)+0.12*(L53/K53)</f>
        <v>0.12</v>
      </c>
      <c r="X51" s="9">
        <f>V51+W51</f>
        <v>0.2604368308</v>
      </c>
      <c r="Y51" s="9">
        <f>X51*(I53/9)</f>
        <v>5.353423745</v>
      </c>
      <c r="Z51" s="9">
        <f>-0.000682902*I53</f>
        <v>-0.12633687</v>
      </c>
      <c r="AA51" s="9">
        <f>-0.0007*I53</f>
        <v>-0.1295</v>
      </c>
      <c r="AB51" s="9">
        <f>-0.0012*I53</f>
        <v>-0.222</v>
      </c>
      <c r="AC51" s="9">
        <f>Y51+Z51</f>
        <v>5.227086875</v>
      </c>
      <c r="AD51" s="9">
        <f>Y51 + AA51</f>
        <v>5.223923745</v>
      </c>
      <c r="AE51" s="9">
        <f>Y51+AB51</f>
        <v>5.131423745</v>
      </c>
      <c r="AF51" s="9">
        <f>ABS(AC51-L51)</f>
        <v>0.127086875</v>
      </c>
      <c r="AG51" s="9">
        <f>abs(AD51-L51)</f>
        <v>0.123923745</v>
      </c>
      <c r="AH51" s="9">
        <f>abs(AE51-L51)</f>
        <v>0.03142374499</v>
      </c>
    </row>
    <row r="52">
      <c r="D52" s="10" t="s">
        <v>29</v>
      </c>
      <c r="E52" s="10" t="s">
        <v>30</v>
      </c>
      <c r="F52" s="10" t="s">
        <v>31</v>
      </c>
      <c r="G52" s="10" t="s">
        <v>32</v>
      </c>
      <c r="H52" s="10" t="s">
        <v>33</v>
      </c>
      <c r="I52" s="10" t="s">
        <v>34</v>
      </c>
      <c r="J52" s="16" t="s">
        <v>35</v>
      </c>
      <c r="K52" s="10" t="s">
        <v>36</v>
      </c>
      <c r="L52" s="10" t="s">
        <v>37</v>
      </c>
    </row>
    <row r="53">
      <c r="D53" s="7">
        <v>19.0</v>
      </c>
      <c r="E53" s="7">
        <v>55.0</v>
      </c>
      <c r="F53" s="7">
        <v>3.0</v>
      </c>
      <c r="G53" s="7">
        <v>237.0</v>
      </c>
      <c r="H53" s="7">
        <v>19.0</v>
      </c>
      <c r="I53" s="7">
        <v>185.0</v>
      </c>
      <c r="J53" s="5">
        <v>100.0</v>
      </c>
      <c r="K53" s="5">
        <v>31.0</v>
      </c>
      <c r="L53" s="5">
        <v>31.0</v>
      </c>
    </row>
    <row r="54">
      <c r="D54" s="14" t="s">
        <v>41</v>
      </c>
      <c r="E54" s="14" t="s">
        <v>42</v>
      </c>
      <c r="F54" s="14" t="s">
        <v>43</v>
      </c>
      <c r="G54" s="14" t="s">
        <v>44</v>
      </c>
      <c r="H54" s="14" t="s">
        <v>45</v>
      </c>
      <c r="I54" s="14" t="s">
        <v>46</v>
      </c>
    </row>
    <row r="55">
      <c r="D55" s="5">
        <v>2935.0</v>
      </c>
      <c r="E55" s="5">
        <v>7844.0</v>
      </c>
      <c r="F55" s="5">
        <v>1063.0</v>
      </c>
      <c r="G55" s="5">
        <v>21328.0</v>
      </c>
      <c r="H55" s="5">
        <v>2312.0</v>
      </c>
      <c r="I55" s="5">
        <v>21577.667</v>
      </c>
    </row>
    <row r="57">
      <c r="A57" s="5" t="s">
        <v>55</v>
      </c>
      <c r="B57" s="5">
        <v>2022.0</v>
      </c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  <c r="H57" s="2" t="s">
        <v>7</v>
      </c>
      <c r="I57" s="2" t="s">
        <v>8</v>
      </c>
      <c r="J57" s="2" t="s">
        <v>9</v>
      </c>
      <c r="L57" s="15" t="s">
        <v>10</v>
      </c>
      <c r="M57" s="5" t="s">
        <v>11</v>
      </c>
      <c r="N57" s="5" t="s">
        <v>12</v>
      </c>
      <c r="O57" s="5" t="s">
        <v>13</v>
      </c>
      <c r="P57" s="5" t="s">
        <v>14</v>
      </c>
      <c r="Q57" s="5" t="s">
        <v>15</v>
      </c>
      <c r="R57" s="5" t="s">
        <v>16</v>
      </c>
      <c r="S57" s="5" t="s">
        <v>17</v>
      </c>
      <c r="T57" s="5" t="s">
        <v>18</v>
      </c>
      <c r="U57" s="5" t="s">
        <v>19</v>
      </c>
      <c r="V57" s="5" t="s">
        <v>20</v>
      </c>
      <c r="W57" s="5" t="s">
        <v>21</v>
      </c>
      <c r="X57" s="5" t="s">
        <v>22</v>
      </c>
      <c r="Y57" s="5" t="s">
        <v>23</v>
      </c>
      <c r="Z57" s="5" t="s">
        <v>24</v>
      </c>
      <c r="AA57" s="5" t="s">
        <v>71</v>
      </c>
      <c r="AB57" s="5" t="s">
        <v>72</v>
      </c>
      <c r="AC57" s="5" t="s">
        <v>25</v>
      </c>
      <c r="AD57" s="5" t="s">
        <v>74</v>
      </c>
      <c r="AE57" s="5" t="s">
        <v>75</v>
      </c>
      <c r="AF57" s="5" t="s">
        <v>26</v>
      </c>
      <c r="AG57" s="5" t="s">
        <v>77</v>
      </c>
      <c r="AH57" s="5" t="s">
        <v>78</v>
      </c>
    </row>
    <row r="58">
      <c r="C58" s="5">
        <v>3.97</v>
      </c>
      <c r="D58" s="5">
        <v>5215.0</v>
      </c>
      <c r="E58" s="5">
        <v>14853.0</v>
      </c>
      <c r="F58" s="5">
        <v>2056.0</v>
      </c>
      <c r="G58" s="5">
        <v>40812.0</v>
      </c>
      <c r="H58" s="5">
        <v>4674.0</v>
      </c>
      <c r="I58" s="5">
        <v>43075.333</v>
      </c>
      <c r="J58" s="5">
        <v>4.35</v>
      </c>
      <c r="L58" s="5">
        <v>5.9</v>
      </c>
      <c r="M58" s="9">
        <f>C58 - (((13*D58)+(3*(E58+F58))-(2*(G58+H58)))/I58)</f>
        <v>3.33042282</v>
      </c>
      <c r="N58" s="9">
        <f>((13*D60)+(3*(E60+F60))-(2*(G60+H60)))/I60 + M58</f>
        <v>2.984942274</v>
      </c>
      <c r="O58" s="9">
        <f>J58-C58</f>
        <v>0.38</v>
      </c>
      <c r="P58" s="9">
        <f>N58+O58</f>
        <v>3.364942274</v>
      </c>
      <c r="Q58" s="9">
        <f>P58 / (J60/100)</f>
        <v>3.39893159</v>
      </c>
      <c r="R58" s="9">
        <f>((13*D62)+(3*(E62+F62))-(2*(G62+H62)))/I62 + M58</f>
        <v>4.003157124</v>
      </c>
      <c r="S58" s="9">
        <f>R58 + O58</f>
        <v>4.383157124</v>
      </c>
      <c r="T58" s="9">
        <f>S58-Q58</f>
        <v>0.9842255341</v>
      </c>
      <c r="U58" s="9">
        <f>(((((18-I60/K60)*(S58))+((I60/K60)*Q58))/18)+2)*1.5</f>
        <v>8.988642196</v>
      </c>
      <c r="V58" s="9">
        <f>T58/U58</f>
        <v>0.109496575</v>
      </c>
      <c r="W58" s="9">
        <f>0.03*(1-L60/K60)+0.12*(L60/K60)</f>
        <v>0.12</v>
      </c>
      <c r="X58" s="9">
        <f>V58+W58</f>
        <v>0.229496575</v>
      </c>
      <c r="Y58" s="9">
        <f>X58*(I60/9)</f>
        <v>5.830921479</v>
      </c>
      <c r="Z58" s="9">
        <f>-0.000682902*I60</f>
        <v>-0.1561571516</v>
      </c>
      <c r="AA58" s="9">
        <f>-0.0007*I60</f>
        <v>-0.1600669</v>
      </c>
      <c r="AB58" s="9">
        <f>-0.0012*I60</f>
        <v>-0.2744004</v>
      </c>
      <c r="AC58" s="9">
        <f>Y58+Z58</f>
        <v>5.674764327</v>
      </c>
      <c r="AD58" s="9">
        <f>Y58 + AA58</f>
        <v>5.670854579</v>
      </c>
      <c r="AE58" s="9">
        <f>Y58+AB58</f>
        <v>5.556521079</v>
      </c>
      <c r="AF58" s="9">
        <f>ABS(AC58-L58)</f>
        <v>0.2252356729</v>
      </c>
      <c r="AG58" s="9">
        <f>abs(AD58-L58)</f>
        <v>0.2291454213</v>
      </c>
      <c r="AH58" s="9">
        <f>abs(AE58-L58)</f>
        <v>0.3434789213</v>
      </c>
    </row>
    <row r="59">
      <c r="D59" s="10" t="s">
        <v>29</v>
      </c>
      <c r="E59" s="10" t="s">
        <v>30</v>
      </c>
      <c r="F59" s="10" t="s">
        <v>31</v>
      </c>
      <c r="G59" s="10" t="s">
        <v>32</v>
      </c>
      <c r="H59" s="10" t="s">
        <v>33</v>
      </c>
      <c r="I59" s="10" t="s">
        <v>34</v>
      </c>
      <c r="J59" s="16" t="s">
        <v>35</v>
      </c>
      <c r="K59" s="10" t="s">
        <v>36</v>
      </c>
      <c r="L59" s="10" t="s">
        <v>37</v>
      </c>
    </row>
    <row r="60">
      <c r="D60" s="7">
        <v>16.0</v>
      </c>
      <c r="E60" s="7">
        <v>48.0</v>
      </c>
      <c r="F60" s="7">
        <v>9.0</v>
      </c>
      <c r="G60" s="7">
        <v>207.0</v>
      </c>
      <c r="H60" s="7">
        <v>22.0</v>
      </c>
      <c r="I60" s="7">
        <v>228.667</v>
      </c>
      <c r="J60" s="5">
        <v>99.0</v>
      </c>
      <c r="K60" s="5">
        <v>32.0</v>
      </c>
      <c r="L60" s="5">
        <v>32.0</v>
      </c>
    </row>
    <row r="61">
      <c r="D61" s="14" t="s">
        <v>41</v>
      </c>
      <c r="E61" s="14" t="s">
        <v>42</v>
      </c>
      <c r="F61" s="14" t="s">
        <v>43</v>
      </c>
      <c r="G61" s="14" t="s">
        <v>44</v>
      </c>
      <c r="H61" s="14" t="s">
        <v>45</v>
      </c>
      <c r="I61" s="14" t="s">
        <v>46</v>
      </c>
    </row>
    <row r="62">
      <c r="D62" s="5">
        <v>2636.0</v>
      </c>
      <c r="E62" s="5">
        <v>7567.0</v>
      </c>
      <c r="F62" s="5">
        <v>1082.0</v>
      </c>
      <c r="G62" s="5">
        <v>20642.0</v>
      </c>
      <c r="H62" s="5">
        <v>2228.0</v>
      </c>
      <c r="I62" s="5">
        <v>21516.667</v>
      </c>
    </row>
    <row r="64">
      <c r="A64" s="5" t="s">
        <v>56</v>
      </c>
      <c r="B64" s="5">
        <v>2022.0</v>
      </c>
      <c r="C64" s="2" t="s">
        <v>2</v>
      </c>
      <c r="D64" s="2" t="s">
        <v>3</v>
      </c>
      <c r="E64" s="2" t="s">
        <v>4</v>
      </c>
      <c r="F64" s="2" t="s">
        <v>5</v>
      </c>
      <c r="G64" s="2" t="s">
        <v>6</v>
      </c>
      <c r="H64" s="2" t="s">
        <v>7</v>
      </c>
      <c r="I64" s="2" t="s">
        <v>8</v>
      </c>
      <c r="J64" s="2" t="s">
        <v>9</v>
      </c>
      <c r="L64" s="15" t="s">
        <v>10</v>
      </c>
      <c r="M64" s="5" t="s">
        <v>11</v>
      </c>
      <c r="N64" s="5" t="s">
        <v>12</v>
      </c>
      <c r="O64" s="5" t="s">
        <v>13</v>
      </c>
      <c r="P64" s="5" t="s">
        <v>14</v>
      </c>
      <c r="Q64" s="5" t="s">
        <v>15</v>
      </c>
      <c r="R64" s="5" t="s">
        <v>16</v>
      </c>
      <c r="S64" s="5" t="s">
        <v>17</v>
      </c>
      <c r="T64" s="5" t="s">
        <v>18</v>
      </c>
      <c r="U64" s="5" t="s">
        <v>19</v>
      </c>
      <c r="V64" s="5" t="s">
        <v>20</v>
      </c>
      <c r="W64" s="5" t="s">
        <v>21</v>
      </c>
      <c r="X64" s="5" t="s">
        <v>22</v>
      </c>
      <c r="Y64" s="5" t="s">
        <v>23</v>
      </c>
      <c r="Z64" s="5" t="s">
        <v>24</v>
      </c>
      <c r="AA64" s="5" t="s">
        <v>71</v>
      </c>
      <c r="AB64" s="5" t="s">
        <v>72</v>
      </c>
      <c r="AC64" s="5" t="s">
        <v>25</v>
      </c>
      <c r="AD64" s="5" t="s">
        <v>74</v>
      </c>
      <c r="AE64" s="5" t="s">
        <v>75</v>
      </c>
      <c r="AF64" s="5" t="s">
        <v>26</v>
      </c>
      <c r="AG64" s="5" t="s">
        <v>77</v>
      </c>
      <c r="AH64" s="5" t="s">
        <v>78</v>
      </c>
    </row>
    <row r="65">
      <c r="C65" s="5">
        <v>3.97</v>
      </c>
      <c r="D65" s="5">
        <v>5215.0</v>
      </c>
      <c r="E65" s="5">
        <v>14853.0</v>
      </c>
      <c r="F65" s="5">
        <v>2056.0</v>
      </c>
      <c r="G65" s="5">
        <v>40812.0</v>
      </c>
      <c r="H65" s="5">
        <v>4674.0</v>
      </c>
      <c r="I65" s="5">
        <v>43075.333</v>
      </c>
      <c r="J65" s="5">
        <v>4.35</v>
      </c>
      <c r="L65" s="5">
        <v>6.0</v>
      </c>
      <c r="M65" s="9">
        <f>C65 - (((13*D65)+(3*(E65+F65))-(2*(G65+H65)))/I65)</f>
        <v>3.33042282</v>
      </c>
      <c r="N65" s="9">
        <f>((13*D67)+(3*(E67+F67))-(2*(G67+H67)))/I67 + M65</f>
        <v>2.273279963</v>
      </c>
      <c r="O65" s="9">
        <f>J65-C65</f>
        <v>0.38</v>
      </c>
      <c r="P65" s="9">
        <f>N65+O65</f>
        <v>2.653279963</v>
      </c>
      <c r="Q65" s="9">
        <f>P65 / (J67/100)</f>
        <v>2.680080771</v>
      </c>
      <c r="R65" s="9">
        <f>((13*D69)+(3*(E69+F69))-(2*(G69+H69)))/I69 + M65</f>
        <v>3.93551589</v>
      </c>
      <c r="S65" s="9">
        <f>R65 + O65</f>
        <v>4.31551589</v>
      </c>
      <c r="T65" s="9">
        <f>S65-Q65</f>
        <v>1.635435119</v>
      </c>
      <c r="U65" s="9">
        <f>(((((18-I67/K67)*(S65))+((I67/K67)*Q65))/18)+2)*1.5</f>
        <v>8.621484711</v>
      </c>
      <c r="V65" s="9">
        <f>T65/U65</f>
        <v>0.1896929791</v>
      </c>
      <c r="W65" s="9">
        <f>0.03*(1-L67/K67)+0.12*(L67/K67)</f>
        <v>0.12</v>
      </c>
      <c r="X65" s="9">
        <f>V65+W65</f>
        <v>0.3096929791</v>
      </c>
      <c r="Y65" s="9">
        <f>X65*(I67/9)</f>
        <v>6.021807928</v>
      </c>
      <c r="Z65" s="9">
        <f>-0.000682902*I67</f>
        <v>-0.11950785</v>
      </c>
      <c r="AA65" s="9">
        <f>-0.0007*I67</f>
        <v>-0.1225</v>
      </c>
      <c r="AB65" s="9">
        <f>-0.0012*I67</f>
        <v>-0.21</v>
      </c>
      <c r="AC65" s="9">
        <f>Y65+Z65</f>
        <v>5.902300078</v>
      </c>
      <c r="AD65" s="9">
        <f>Y65 + AA65</f>
        <v>5.899307928</v>
      </c>
      <c r="AE65" s="9">
        <f>Y65+AB65</f>
        <v>5.811807928</v>
      </c>
      <c r="AF65" s="9">
        <f>ABS(AC65-L65)</f>
        <v>0.09769992211</v>
      </c>
      <c r="AG65" s="9">
        <f>abs(AD65-L65)</f>
        <v>0.1006920721</v>
      </c>
      <c r="AH65" s="9">
        <f>abs(AE65-L65)</f>
        <v>0.1881920721</v>
      </c>
    </row>
    <row r="66">
      <c r="D66" s="10" t="s">
        <v>29</v>
      </c>
      <c r="E66" s="10" t="s">
        <v>30</v>
      </c>
      <c r="F66" s="10" t="s">
        <v>31</v>
      </c>
      <c r="G66" s="10" t="s">
        <v>32</v>
      </c>
      <c r="H66" s="10" t="s">
        <v>33</v>
      </c>
      <c r="I66" s="10" t="s">
        <v>34</v>
      </c>
      <c r="J66" s="16" t="s">
        <v>35</v>
      </c>
      <c r="K66" s="10" t="s">
        <v>36</v>
      </c>
      <c r="L66" s="10" t="s">
        <v>37</v>
      </c>
    </row>
    <row r="67">
      <c r="D67" s="7">
        <v>12.0</v>
      </c>
      <c r="E67" s="7">
        <v>29.0</v>
      </c>
      <c r="F67" s="7">
        <v>6.0</v>
      </c>
      <c r="G67" s="7">
        <v>185.0</v>
      </c>
      <c r="H67" s="7">
        <v>38.0</v>
      </c>
      <c r="I67" s="7">
        <v>175.0</v>
      </c>
      <c r="J67" s="5">
        <v>99.0</v>
      </c>
      <c r="K67" s="5">
        <v>28.0</v>
      </c>
      <c r="L67" s="5">
        <v>28.0</v>
      </c>
    </row>
    <row r="68">
      <c r="D68" s="14" t="s">
        <v>41</v>
      </c>
      <c r="E68" s="14" t="s">
        <v>42</v>
      </c>
      <c r="F68" s="14" t="s">
        <v>43</v>
      </c>
      <c r="G68" s="14" t="s">
        <v>44</v>
      </c>
      <c r="H68" s="14" t="s">
        <v>45</v>
      </c>
      <c r="I68" s="14" t="s">
        <v>46</v>
      </c>
    </row>
    <row r="69">
      <c r="D69" s="5">
        <v>2579.0</v>
      </c>
      <c r="E69" s="5">
        <v>7286.0</v>
      </c>
      <c r="F69" s="5">
        <v>964.0</v>
      </c>
      <c r="G69" s="5">
        <v>20170.0</v>
      </c>
      <c r="H69" s="5">
        <v>2446.0</v>
      </c>
      <c r="I69" s="5">
        <v>21558.667</v>
      </c>
    </row>
    <row r="71">
      <c r="A71" s="5" t="s">
        <v>57</v>
      </c>
      <c r="B71" s="5">
        <v>2021.0</v>
      </c>
      <c r="C71" s="2" t="s">
        <v>2</v>
      </c>
      <c r="D71" s="2" t="s">
        <v>3</v>
      </c>
      <c r="E71" s="2" t="s">
        <v>4</v>
      </c>
      <c r="F71" s="2" t="s">
        <v>5</v>
      </c>
      <c r="G71" s="2" t="s">
        <v>6</v>
      </c>
      <c r="H71" s="2" t="s">
        <v>7</v>
      </c>
      <c r="I71" s="2" t="s">
        <v>8</v>
      </c>
      <c r="J71" s="2" t="s">
        <v>9</v>
      </c>
      <c r="L71" s="15" t="s">
        <v>10</v>
      </c>
      <c r="M71" s="5" t="s">
        <v>11</v>
      </c>
      <c r="N71" s="5" t="s">
        <v>12</v>
      </c>
      <c r="O71" s="5" t="s">
        <v>13</v>
      </c>
      <c r="P71" s="5" t="s">
        <v>14</v>
      </c>
      <c r="Q71" s="5" t="s">
        <v>15</v>
      </c>
      <c r="R71" s="5" t="s">
        <v>16</v>
      </c>
      <c r="S71" s="5" t="s">
        <v>17</v>
      </c>
      <c r="T71" s="5" t="s">
        <v>18</v>
      </c>
      <c r="U71" s="5" t="s">
        <v>19</v>
      </c>
      <c r="V71" s="5" t="s">
        <v>20</v>
      </c>
      <c r="W71" s="5" t="s">
        <v>21</v>
      </c>
      <c r="X71" s="5" t="s">
        <v>22</v>
      </c>
      <c r="Y71" s="5" t="s">
        <v>23</v>
      </c>
      <c r="Z71" s="5" t="s">
        <v>24</v>
      </c>
      <c r="AA71" s="5" t="s">
        <v>71</v>
      </c>
      <c r="AB71" s="5" t="s">
        <v>72</v>
      </c>
      <c r="AC71" s="5" t="s">
        <v>25</v>
      </c>
      <c r="AD71" s="5" t="s">
        <v>74</v>
      </c>
      <c r="AE71" s="5" t="s">
        <v>75</v>
      </c>
      <c r="AF71" s="5" t="s">
        <v>26</v>
      </c>
      <c r="AG71" s="5" t="s">
        <v>77</v>
      </c>
      <c r="AH71" s="5" t="s">
        <v>78</v>
      </c>
    </row>
    <row r="72">
      <c r="C72" s="5">
        <v>4.27</v>
      </c>
      <c r="D72" s="5">
        <v>5944.0</v>
      </c>
      <c r="E72" s="5">
        <v>15794.0</v>
      </c>
      <c r="F72" s="5">
        <v>2112.0</v>
      </c>
      <c r="G72" s="5">
        <v>42145.0</v>
      </c>
      <c r="H72" s="5">
        <v>4363.0</v>
      </c>
      <c r="I72" s="5">
        <v>42615.0</v>
      </c>
      <c r="J72" s="5">
        <v>4.65</v>
      </c>
      <c r="L72" s="5">
        <v>7.5</v>
      </c>
      <c r="M72" s="9">
        <f>C72 - (((13*D72)+(3*(E72+F72))-(2*(G72+H72)))/I72)</f>
        <v>3.378905315</v>
      </c>
      <c r="N72" s="9">
        <f>((13*D74)+(3*(E74+F74))-(2*(G74+H74)))/I74 + M72</f>
        <v>1.732198728</v>
      </c>
      <c r="O72" s="9">
        <f>J72-C72</f>
        <v>0.38</v>
      </c>
      <c r="P72" s="9">
        <f>N72+O72</f>
        <v>2.112198728</v>
      </c>
      <c r="Q72" s="9">
        <f>P72 / (J74/100)</f>
        <v>2.09128587</v>
      </c>
      <c r="R72" s="9">
        <f>((13*D76)+(3*(E76+F76))-(2*(G76+H76)))/I76 + M72</f>
        <v>4.272469531</v>
      </c>
      <c r="S72" s="9">
        <f>R72 + O72</f>
        <v>4.652469531</v>
      </c>
      <c r="T72" s="9">
        <f>S72-Q72</f>
        <v>2.561183661</v>
      </c>
      <c r="U72" s="9">
        <f>(((((18-I74/K74)*(S72))+((I74/K74)*Q72))/18)+2)*1.5</f>
        <v>8.705735036</v>
      </c>
      <c r="V72" s="9">
        <f>T72/U72</f>
        <v>0.2941949934</v>
      </c>
      <c r="W72" s="9">
        <f>0.03*(1-L74/K74)+0.12*(L74/K74)</f>
        <v>0.12</v>
      </c>
      <c r="X72" s="9">
        <f>V72+W72</f>
        <v>0.4141949934</v>
      </c>
      <c r="Y72" s="9">
        <f>X72*(I74/9)</f>
        <v>7.685618211</v>
      </c>
      <c r="Z72" s="9">
        <f>-0.000682902*I74</f>
        <v>-0.114044634</v>
      </c>
      <c r="AA72" s="9">
        <f>-0.0007*I74</f>
        <v>-0.1169</v>
      </c>
      <c r="AB72" s="9">
        <f>-0.0012*I74</f>
        <v>-0.2004</v>
      </c>
      <c r="AC72" s="9">
        <f>Y72+Z72</f>
        <v>7.571573577</v>
      </c>
      <c r="AD72" s="9">
        <f>Y72 + AA72</f>
        <v>7.568718211</v>
      </c>
      <c r="AE72" s="9">
        <f>Y72+AB72</f>
        <v>7.485218211</v>
      </c>
      <c r="AF72" s="9">
        <f>ABS(AC72-L72)</f>
        <v>0.07157357657</v>
      </c>
      <c r="AG72" s="9">
        <f>abs(AD72-L72)</f>
        <v>0.06871821057</v>
      </c>
      <c r="AH72" s="9">
        <f>abs(AE72-L72)</f>
        <v>0.01478178943</v>
      </c>
    </row>
    <row r="73">
      <c r="D73" s="10" t="s">
        <v>29</v>
      </c>
      <c r="E73" s="10" t="s">
        <v>30</v>
      </c>
      <c r="F73" s="10" t="s">
        <v>31</v>
      </c>
      <c r="G73" s="10" t="s">
        <v>32</v>
      </c>
      <c r="H73" s="10" t="s">
        <v>33</v>
      </c>
      <c r="I73" s="10" t="s">
        <v>34</v>
      </c>
      <c r="J73" s="16" t="s">
        <v>35</v>
      </c>
      <c r="K73" s="10" t="s">
        <v>36</v>
      </c>
      <c r="L73" s="10" t="s">
        <v>37</v>
      </c>
    </row>
    <row r="74">
      <c r="D74" s="7">
        <v>7.0</v>
      </c>
      <c r="E74" s="7">
        <v>34.0</v>
      </c>
      <c r="F74" s="7">
        <v>6.0</v>
      </c>
      <c r="G74" s="7">
        <v>234.0</v>
      </c>
      <c r="H74" s="7">
        <v>9.0</v>
      </c>
      <c r="I74" s="7">
        <v>167.0</v>
      </c>
      <c r="J74" s="5">
        <v>101.0</v>
      </c>
      <c r="K74" s="5">
        <v>28.0</v>
      </c>
      <c r="L74" s="5">
        <v>28.0</v>
      </c>
    </row>
    <row r="75">
      <c r="D75" s="14" t="s">
        <v>41</v>
      </c>
      <c r="E75" s="14" t="s">
        <v>42</v>
      </c>
      <c r="F75" s="14" t="s">
        <v>43</v>
      </c>
      <c r="G75" s="14" t="s">
        <v>44</v>
      </c>
      <c r="H75" s="14" t="s">
        <v>45</v>
      </c>
      <c r="I75" s="14" t="s">
        <v>46</v>
      </c>
    </row>
    <row r="76">
      <c r="D76" s="5">
        <v>3043.0</v>
      </c>
      <c r="E76" s="5">
        <v>7741.0</v>
      </c>
      <c r="F76" s="5">
        <v>989.0</v>
      </c>
      <c r="G76" s="5">
        <v>20983.0</v>
      </c>
      <c r="H76" s="5">
        <v>2353.0</v>
      </c>
      <c r="I76" s="5">
        <v>21349.333</v>
      </c>
    </row>
    <row r="78">
      <c r="A78" s="5" t="s">
        <v>58</v>
      </c>
      <c r="B78" s="5">
        <v>2021.0</v>
      </c>
      <c r="C78" s="2" t="s">
        <v>2</v>
      </c>
      <c r="D78" s="2" t="s">
        <v>3</v>
      </c>
      <c r="E78" s="2" t="s">
        <v>4</v>
      </c>
      <c r="F78" s="2" t="s">
        <v>5</v>
      </c>
      <c r="G78" s="2" t="s">
        <v>6</v>
      </c>
      <c r="H78" s="2" t="s">
        <v>7</v>
      </c>
      <c r="I78" s="2" t="s">
        <v>8</v>
      </c>
      <c r="J78" s="2" t="s">
        <v>9</v>
      </c>
      <c r="L78" s="15" t="s">
        <v>10</v>
      </c>
      <c r="M78" s="5" t="s">
        <v>11</v>
      </c>
      <c r="N78" s="5" t="s">
        <v>12</v>
      </c>
      <c r="O78" s="5" t="s">
        <v>13</v>
      </c>
      <c r="P78" s="5" t="s">
        <v>14</v>
      </c>
      <c r="Q78" s="5" t="s">
        <v>15</v>
      </c>
      <c r="R78" s="5" t="s">
        <v>16</v>
      </c>
      <c r="S78" s="5" t="s">
        <v>17</v>
      </c>
      <c r="T78" s="5" t="s">
        <v>18</v>
      </c>
      <c r="U78" s="5" t="s">
        <v>19</v>
      </c>
      <c r="V78" s="5" t="s">
        <v>20</v>
      </c>
      <c r="W78" s="5" t="s">
        <v>21</v>
      </c>
      <c r="X78" s="5" t="s">
        <v>22</v>
      </c>
      <c r="Y78" s="5" t="s">
        <v>23</v>
      </c>
      <c r="Z78" s="5" t="s">
        <v>24</v>
      </c>
      <c r="AA78" s="5" t="s">
        <v>71</v>
      </c>
      <c r="AB78" s="5" t="s">
        <v>72</v>
      </c>
      <c r="AC78" s="5" t="s">
        <v>25</v>
      </c>
      <c r="AD78" s="5" t="s">
        <v>74</v>
      </c>
      <c r="AE78" s="5" t="s">
        <v>75</v>
      </c>
      <c r="AF78" s="5" t="s">
        <v>26</v>
      </c>
      <c r="AG78" s="5" t="s">
        <v>77</v>
      </c>
      <c r="AH78" s="5" t="s">
        <v>78</v>
      </c>
    </row>
    <row r="79">
      <c r="C79" s="5">
        <v>4.27</v>
      </c>
      <c r="D79" s="5">
        <v>5944.0</v>
      </c>
      <c r="E79" s="5">
        <v>15794.0</v>
      </c>
      <c r="F79" s="5">
        <v>2112.0</v>
      </c>
      <c r="G79" s="5">
        <v>42145.0</v>
      </c>
      <c r="H79" s="5">
        <v>4363.0</v>
      </c>
      <c r="I79" s="5">
        <v>42615.0</v>
      </c>
      <c r="J79" s="5">
        <v>4.65</v>
      </c>
      <c r="L79" s="5">
        <v>3.9</v>
      </c>
      <c r="M79" s="9">
        <f>C79 - (((13*D79)+(3*(E79+F79))-(2*(G79+H79)))/I79)</f>
        <v>3.378905315</v>
      </c>
      <c r="N79" s="9">
        <f>((13*D81)+(3*(E81+F81))-(2*(G81+H81)))/I81 + M79</f>
        <v>3.663388564</v>
      </c>
      <c r="O79" s="9">
        <f>J79-C79</f>
        <v>0.38</v>
      </c>
      <c r="P79" s="9">
        <f>N79+O79</f>
        <v>4.043388564</v>
      </c>
      <c r="Q79" s="9">
        <f>P79 / (J81/100)</f>
        <v>4.084230873</v>
      </c>
      <c r="R79" s="9">
        <f>((13*D83)+(3*(E83+F83))-(2*(G83+H83)))/I83 + M79</f>
        <v>4.272469531</v>
      </c>
      <c r="S79" s="9">
        <f>R79 + O79</f>
        <v>4.652469531</v>
      </c>
      <c r="T79" s="9">
        <f>S79-Q79</f>
        <v>0.568238658</v>
      </c>
      <c r="U79" s="9">
        <f>(((((18-I81/K81)*(S79))+((I81/K81)*Q79))/18)+2)*1.5</f>
        <v>9.69261241</v>
      </c>
      <c r="V79" s="9">
        <f>T79/U79</f>
        <v>0.0586259549</v>
      </c>
      <c r="W79" s="9">
        <f>0.03*(1-L81/K81)+0.12*(L81/K81)</f>
        <v>0.12</v>
      </c>
      <c r="X79" s="9">
        <f>V79+W79</f>
        <v>0.1786259549</v>
      </c>
      <c r="Y79" s="9">
        <f>X79*(I81/9)</f>
        <v>3.837143526</v>
      </c>
      <c r="Z79" s="9">
        <f>-0.000682902*I81</f>
        <v>-0.1320274924</v>
      </c>
      <c r="AA79" s="9">
        <f>-0.0007*I81</f>
        <v>-0.1353331</v>
      </c>
      <c r="AB79" s="9">
        <f>-0.0012*I81</f>
        <v>-0.2319996</v>
      </c>
      <c r="AC79" s="9">
        <f>Y79+Z79</f>
        <v>3.705116034</v>
      </c>
      <c r="AD79" s="9">
        <f>Y79 + AA79</f>
        <v>3.701810426</v>
      </c>
      <c r="AE79" s="9">
        <f>Y79+AB79</f>
        <v>3.605143926</v>
      </c>
      <c r="AF79" s="9">
        <f>ABS(AC79-L79)</f>
        <v>0.1948839659</v>
      </c>
      <c r="AG79" s="9">
        <f>abs(AD79-L79)</f>
        <v>0.1981895735</v>
      </c>
      <c r="AH79" s="9">
        <f>abs(AE79-L79)</f>
        <v>0.2948560735</v>
      </c>
    </row>
    <row r="80">
      <c r="D80" s="10" t="s">
        <v>29</v>
      </c>
      <c r="E80" s="10" t="s">
        <v>30</v>
      </c>
      <c r="F80" s="10" t="s">
        <v>31</v>
      </c>
      <c r="G80" s="10" t="s">
        <v>32</v>
      </c>
      <c r="H80" s="10" t="s">
        <v>33</v>
      </c>
      <c r="I80" s="10" t="s">
        <v>34</v>
      </c>
      <c r="J80" s="16" t="s">
        <v>35</v>
      </c>
      <c r="K80" s="10" t="s">
        <v>36</v>
      </c>
      <c r="L80" s="10" t="s">
        <v>37</v>
      </c>
    </row>
    <row r="81">
      <c r="D81" s="7">
        <v>33.0</v>
      </c>
      <c r="E81" s="7">
        <v>52.0</v>
      </c>
      <c r="F81" s="7">
        <v>4.0</v>
      </c>
      <c r="G81" s="7">
        <v>248.0</v>
      </c>
      <c r="H81" s="7">
        <v>23.0</v>
      </c>
      <c r="I81" s="7">
        <v>193.333</v>
      </c>
      <c r="J81" s="5">
        <v>99.0</v>
      </c>
      <c r="K81" s="5">
        <v>32.0</v>
      </c>
      <c r="L81" s="5">
        <v>32.0</v>
      </c>
    </row>
    <row r="82">
      <c r="D82" s="14" t="s">
        <v>41</v>
      </c>
      <c r="E82" s="14" t="s">
        <v>42</v>
      </c>
      <c r="F82" s="14" t="s">
        <v>43</v>
      </c>
      <c r="G82" s="14" t="s">
        <v>44</v>
      </c>
      <c r="H82" s="14" t="s">
        <v>45</v>
      </c>
      <c r="I82" s="14" t="s">
        <v>46</v>
      </c>
    </row>
    <row r="83">
      <c r="D83" s="5">
        <v>3043.0</v>
      </c>
      <c r="E83" s="5">
        <v>7741.0</v>
      </c>
      <c r="F83" s="5">
        <v>989.0</v>
      </c>
      <c r="G83" s="5">
        <v>20983.0</v>
      </c>
      <c r="H83" s="5">
        <v>2353.0</v>
      </c>
      <c r="I83" s="5">
        <v>21349.333</v>
      </c>
      <c r="AF83" s="5" t="s">
        <v>79</v>
      </c>
    </row>
    <row r="84">
      <c r="AF84" s="5">
        <v>0.17</v>
      </c>
      <c r="AG84" s="5">
        <v>0.1689</v>
      </c>
      <c r="AH84" s="5">
        <v>0.1699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" t="s">
        <v>0</v>
      </c>
      <c r="B1" s="3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3"/>
      <c r="L1" s="3"/>
      <c r="M1" s="3"/>
      <c r="N1" s="3" t="s">
        <v>11</v>
      </c>
      <c r="O1" s="3" t="s">
        <v>12</v>
      </c>
      <c r="P1" s="3" t="s">
        <v>14</v>
      </c>
      <c r="Q1" s="3" t="s">
        <v>15</v>
      </c>
      <c r="R1" s="3" t="s">
        <v>80</v>
      </c>
      <c r="S1" s="3" t="s">
        <v>81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82</v>
      </c>
      <c r="Z1" s="3" t="s">
        <v>83</v>
      </c>
      <c r="AA1" s="3" t="s">
        <v>84</v>
      </c>
      <c r="AB1" s="3" t="s">
        <v>73</v>
      </c>
      <c r="AC1" s="3" t="s">
        <v>85</v>
      </c>
      <c r="AD1" s="3" t="s">
        <v>75</v>
      </c>
      <c r="AE1" s="6" t="s">
        <v>86</v>
      </c>
      <c r="AF1" s="3" t="s">
        <v>87</v>
      </c>
      <c r="AG1" s="3" t="s">
        <v>76</v>
      </c>
      <c r="AH1" s="3" t="s">
        <v>77</v>
      </c>
      <c r="AI1" s="3" t="s">
        <v>78</v>
      </c>
      <c r="AJ1" s="6" t="s">
        <v>88</v>
      </c>
      <c r="AK1" s="3" t="s">
        <v>89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>
      <c r="A2" s="3" t="s">
        <v>47</v>
      </c>
      <c r="B2" s="13">
        <v>2016.0</v>
      </c>
      <c r="C2" s="19">
        <v>4.19</v>
      </c>
      <c r="D2" s="19">
        <v>5610.0</v>
      </c>
      <c r="E2" s="19">
        <v>15088.0</v>
      </c>
      <c r="F2" s="19">
        <v>1651.0</v>
      </c>
      <c r="G2" s="19">
        <v>38982.0</v>
      </c>
      <c r="H2" s="19">
        <v>4234.0</v>
      </c>
      <c r="I2" s="19">
        <v>43306.33</v>
      </c>
      <c r="J2" s="19">
        <v>4.52</v>
      </c>
      <c r="K2" s="3"/>
      <c r="L2" s="3"/>
      <c r="M2" s="3"/>
      <c r="N2" s="13">
        <f>C2 - ((13*D2)+(3*(E2+F2))-(2*(G2+H2)))/I2</f>
        <v>3.342202461</v>
      </c>
      <c r="O2" s="13">
        <f>((13*D6)+(3*(E6+F6))-(2*(G6+H6)))/I6 + N2</f>
        <v>3.8373005</v>
      </c>
      <c r="P2" s="13">
        <f>O2 + (J2-C2)</f>
        <v>4.1673005</v>
      </c>
      <c r="Q2" s="13">
        <f>P2 / (L6/100)</f>
        <v>4.1673005</v>
      </c>
      <c r="R2" s="13">
        <f>((13*D4) + (3*(E4 + F4))-(2*(G4+H4)))/I4 + N2</f>
        <v>4.229111905</v>
      </c>
      <c r="S2" s="13">
        <f>R2 + ((J2-C2))</f>
        <v>4.559111905</v>
      </c>
      <c r="T2" s="13">
        <f>S2-Q2</f>
        <v>0.391811405</v>
      </c>
      <c r="U2" s="13">
        <f>(((((18-(I6/J6))*(S2))+((I6/J6)*Q2))/18)+2)*1.5</f>
        <v>9.630518049</v>
      </c>
      <c r="V2" s="13">
        <f>T2/U2</f>
        <v>0.04068435395</v>
      </c>
      <c r="W2" s="13">
        <f>0.03*(1-(K6/J6))+0.12*(K6/J6)</f>
        <v>0.12</v>
      </c>
      <c r="X2" s="13">
        <f>V2+W2</f>
        <v>0.160684354</v>
      </c>
      <c r="Y2" s="13">
        <f>X2*(I6/9)</f>
        <v>3.64217869</v>
      </c>
      <c r="Z2" s="13">
        <f>(1 + M6) / 2</f>
        <v>0.935</v>
      </c>
      <c r="AA2" s="13">
        <f>((-0.0012+-0.0007)/2) * I6</f>
        <v>-0.1938</v>
      </c>
      <c r="AB2" s="13">
        <f>(Y2 * Z2) + AA2</f>
        <v>3.211637075</v>
      </c>
      <c r="AC2" s="13">
        <f>Y2*Z2</f>
        <v>3.405437075</v>
      </c>
      <c r="AD2" s="13">
        <f>Y2 + AA2</f>
        <v>3.44837869</v>
      </c>
      <c r="AE2" s="13">
        <f>Y2</f>
        <v>3.64217869</v>
      </c>
      <c r="AF2" s="7">
        <v>3.3</v>
      </c>
      <c r="AG2" s="13">
        <f>ABS((AB2-AF2))</f>
        <v>0.08836292523</v>
      </c>
      <c r="AH2" s="13">
        <f>ABS(AF2-AC2)</f>
        <v>0.1054370748</v>
      </c>
      <c r="AI2" s="13">
        <f>ABS(AF2-AD2)</f>
        <v>0.1483786896</v>
      </c>
      <c r="AJ2" s="13">
        <f>abs(AF2-AE2)</f>
        <v>0.3421786896</v>
      </c>
      <c r="AK2" s="13">
        <f>(AG2 + AH2 + AI2 + AJ2)/4</f>
        <v>0.1710893448</v>
      </c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>
      <c r="A3" s="3"/>
      <c r="B3" s="3"/>
      <c r="C3" s="20" t="s">
        <v>90</v>
      </c>
      <c r="D3" s="20" t="s">
        <v>41</v>
      </c>
      <c r="E3" s="20" t="s">
        <v>42</v>
      </c>
      <c r="F3" s="20" t="s">
        <v>43</v>
      </c>
      <c r="G3" s="20" t="s">
        <v>44</v>
      </c>
      <c r="H3" s="20" t="s">
        <v>45</v>
      </c>
      <c r="I3" s="20" t="s">
        <v>46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>
      <c r="A4" s="3"/>
      <c r="B4" s="3"/>
      <c r="C4" s="13">
        <v>4.21</v>
      </c>
      <c r="D4" s="19">
        <v>2934.0</v>
      </c>
      <c r="E4" s="19">
        <v>7280.0</v>
      </c>
      <c r="F4" s="19">
        <v>771.0</v>
      </c>
      <c r="G4" s="19">
        <v>19244.0</v>
      </c>
      <c r="H4" s="19">
        <v>2320.0</v>
      </c>
      <c r="I4" s="19">
        <v>21611.0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>
      <c r="A5" s="3"/>
      <c r="B5" s="3"/>
      <c r="C5" s="3"/>
      <c r="D5" s="11" t="s">
        <v>29</v>
      </c>
      <c r="E5" s="11" t="s">
        <v>30</v>
      </c>
      <c r="F5" s="11" t="s">
        <v>31</v>
      </c>
      <c r="G5" s="11" t="s">
        <v>32</v>
      </c>
      <c r="H5" s="11" t="s">
        <v>33</v>
      </c>
      <c r="I5" s="11" t="s">
        <v>34</v>
      </c>
      <c r="J5" s="11" t="s">
        <v>36</v>
      </c>
      <c r="K5" s="11" t="s">
        <v>37</v>
      </c>
      <c r="L5" s="11" t="s">
        <v>35</v>
      </c>
      <c r="M5" s="11" t="s">
        <v>39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>
      <c r="A6" s="3"/>
      <c r="B6" s="3"/>
      <c r="C6" s="3"/>
      <c r="D6" s="13">
        <v>21.0</v>
      </c>
      <c r="E6" s="13">
        <v>54.0</v>
      </c>
      <c r="F6" s="13">
        <v>4.0</v>
      </c>
      <c r="G6" s="13">
        <v>166.0</v>
      </c>
      <c r="H6" s="13">
        <v>7.0</v>
      </c>
      <c r="I6" s="13">
        <v>204.0</v>
      </c>
      <c r="J6" s="13">
        <v>32.0</v>
      </c>
      <c r="K6" s="13">
        <v>32.0</v>
      </c>
      <c r="L6" s="13">
        <v>100.0</v>
      </c>
      <c r="M6" s="13">
        <v>0.87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>
      <c r="A8" s="3" t="s">
        <v>0</v>
      </c>
      <c r="B8" s="3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18" t="s">
        <v>6</v>
      </c>
      <c r="H8" s="18" t="s">
        <v>7</v>
      </c>
      <c r="I8" s="18" t="s">
        <v>8</v>
      </c>
      <c r="J8" s="18" t="s">
        <v>9</v>
      </c>
      <c r="K8" s="3"/>
      <c r="L8" s="3"/>
      <c r="M8" s="3"/>
      <c r="N8" s="3" t="s">
        <v>11</v>
      </c>
      <c r="O8" s="3" t="s">
        <v>12</v>
      </c>
      <c r="P8" s="3" t="s">
        <v>14</v>
      </c>
      <c r="Q8" s="3" t="s">
        <v>15</v>
      </c>
      <c r="R8" s="3" t="s">
        <v>80</v>
      </c>
      <c r="S8" s="3" t="s">
        <v>81</v>
      </c>
      <c r="T8" s="3" t="s">
        <v>18</v>
      </c>
      <c r="U8" s="3" t="s">
        <v>19</v>
      </c>
      <c r="V8" s="3" t="s">
        <v>20</v>
      </c>
      <c r="W8" s="3" t="s">
        <v>21</v>
      </c>
      <c r="X8" s="3" t="s">
        <v>22</v>
      </c>
      <c r="Y8" s="3" t="s">
        <v>82</v>
      </c>
      <c r="Z8" s="3" t="s">
        <v>83</v>
      </c>
      <c r="AA8" s="3" t="s">
        <v>84</v>
      </c>
      <c r="AB8" s="3" t="s">
        <v>73</v>
      </c>
      <c r="AC8" s="3" t="s">
        <v>85</v>
      </c>
      <c r="AD8" s="3" t="s">
        <v>75</v>
      </c>
      <c r="AE8" s="6" t="s">
        <v>86</v>
      </c>
      <c r="AF8" s="3" t="s">
        <v>87</v>
      </c>
      <c r="AG8" s="3" t="s">
        <v>76</v>
      </c>
      <c r="AH8" s="3" t="s">
        <v>77</v>
      </c>
      <c r="AI8" s="3" t="s">
        <v>78</v>
      </c>
      <c r="AJ8" s="6" t="s">
        <v>88</v>
      </c>
      <c r="AK8" s="3" t="s">
        <v>89</v>
      </c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>
      <c r="A9" s="3" t="s">
        <v>51</v>
      </c>
      <c r="B9" s="13">
        <v>2023.0</v>
      </c>
      <c r="C9" s="19">
        <v>4.33</v>
      </c>
      <c r="D9" s="19">
        <v>5868.0</v>
      </c>
      <c r="E9" s="19">
        <v>15819.0</v>
      </c>
      <c r="F9" s="19">
        <v>2112.0</v>
      </c>
      <c r="G9" s="19">
        <v>41843.0</v>
      </c>
      <c r="H9" s="19">
        <v>4542.0</v>
      </c>
      <c r="I9" s="19">
        <v>43087.333</v>
      </c>
      <c r="J9" s="19">
        <v>4.69</v>
      </c>
      <c r="K9" s="3"/>
      <c r="L9" s="3"/>
      <c r="M9" s="3"/>
      <c r="N9" s="13">
        <f>C9 - ((13*D9)+(3*(E9+F9))-(2*(G9+H9)))/I9</f>
        <v>3.464153882</v>
      </c>
      <c r="O9" s="13">
        <f>((13*D13)+(3*(E13+F13))-(2*(G13+H13)))/I13 + N9</f>
        <v>3.288227956</v>
      </c>
      <c r="P9" s="13">
        <f>O9 + (J9-C9)</f>
        <v>3.648227956</v>
      </c>
      <c r="Q9" s="13">
        <f>P9 / (L13/100)</f>
        <v>3.800237455</v>
      </c>
      <c r="R9" s="13">
        <f>((13*D11) + (3*(E11 + F11))-(2*(G11+H11)))/I11 + N9</f>
        <v>4.380532551</v>
      </c>
      <c r="S9" s="13">
        <f>R9 + (J9-C9)</f>
        <v>4.740532551</v>
      </c>
      <c r="T9" s="13">
        <f>S9-Q9</f>
        <v>0.940295096</v>
      </c>
      <c r="U9" s="13">
        <f>(((((18-(I13/J13))*(S9))+((I13/J13)*Q9))/18)+2)*1.5</f>
        <v>9.597910592</v>
      </c>
      <c r="V9" s="13">
        <f>T9/U9</f>
        <v>0.0979687284</v>
      </c>
      <c r="W9" s="13">
        <f>0.03*(1-(K13/J13))+0.12*(K13/J13)</f>
        <v>0.12</v>
      </c>
      <c r="X9" s="13">
        <f>V9+W9</f>
        <v>0.2179687284</v>
      </c>
      <c r="Y9" s="13">
        <f>X9*(I13/9)</f>
        <v>5.231249482</v>
      </c>
      <c r="Z9" s="13">
        <f>(1+M13) / 2</f>
        <v>0.935</v>
      </c>
      <c r="AA9" s="13">
        <f>((-0.0012+-0.0007)/2) * I13</f>
        <v>-0.2052</v>
      </c>
      <c r="AB9" s="13">
        <f>(Y9*Z9) + AA9</f>
        <v>4.686018265</v>
      </c>
      <c r="AC9" s="13">
        <f>Y9*Z9</f>
        <v>4.891218265</v>
      </c>
      <c r="AD9" s="13">
        <f>Y9 + AA9</f>
        <v>5.026049482</v>
      </c>
      <c r="AE9" s="13">
        <f>Y9</f>
        <v>5.231249482</v>
      </c>
      <c r="AF9" s="13">
        <v>4.9</v>
      </c>
      <c r="AG9" s="13">
        <f>ABS((AB9-AF9))</f>
        <v>0.2139817346</v>
      </c>
      <c r="AH9" s="13">
        <f>ABS(AF9-AC9)</f>
        <v>0.008781734624</v>
      </c>
      <c r="AI9" s="13">
        <f>ABS(AF9-AD9)</f>
        <v>0.1260494817</v>
      </c>
      <c r="AJ9" s="13">
        <f>abs(AF9-AE9)</f>
        <v>0.3312494817</v>
      </c>
      <c r="AK9" s="13">
        <f>(AG9 + AH9 + AI9 + AJ9)/4</f>
        <v>0.1700156082</v>
      </c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>
      <c r="A10" s="3"/>
      <c r="B10" s="3"/>
      <c r="C10" s="20" t="s">
        <v>90</v>
      </c>
      <c r="D10" s="20" t="s">
        <v>41</v>
      </c>
      <c r="E10" s="20" t="s">
        <v>42</v>
      </c>
      <c r="F10" s="20" t="s">
        <v>43</v>
      </c>
      <c r="G10" s="20" t="s">
        <v>44</v>
      </c>
      <c r="H10" s="20" t="s">
        <v>45</v>
      </c>
      <c r="I10" s="20" t="s">
        <v>46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 t="s">
        <v>91</v>
      </c>
      <c r="AR10" s="3"/>
      <c r="AS10" s="3"/>
      <c r="AT10" s="3"/>
      <c r="AU10" s="3"/>
      <c r="AV10" s="3"/>
    </row>
    <row r="11">
      <c r="A11" s="3"/>
      <c r="B11" s="3"/>
      <c r="C11" s="13">
        <v>4.38</v>
      </c>
      <c r="D11" s="19">
        <v>2933.0</v>
      </c>
      <c r="E11" s="19">
        <v>7975.0</v>
      </c>
      <c r="F11" s="19">
        <v>1049.0</v>
      </c>
      <c r="G11" s="19">
        <v>20515.0</v>
      </c>
      <c r="H11" s="19">
        <v>2230.0</v>
      </c>
      <c r="I11" s="19">
        <v>21509.667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 t="s">
        <v>92</v>
      </c>
      <c r="AR11" s="3"/>
      <c r="AS11" s="3"/>
      <c r="AT11" s="3"/>
      <c r="AU11" s="3"/>
      <c r="AV11" s="3"/>
    </row>
    <row r="12">
      <c r="A12" s="3"/>
      <c r="B12" s="3"/>
      <c r="C12" s="3"/>
      <c r="D12" s="11" t="s">
        <v>29</v>
      </c>
      <c r="E12" s="11" t="s">
        <v>30</v>
      </c>
      <c r="F12" s="11" t="s">
        <v>31</v>
      </c>
      <c r="G12" s="11" t="s">
        <v>32</v>
      </c>
      <c r="H12" s="11" t="s">
        <v>33</v>
      </c>
      <c r="I12" s="11" t="s">
        <v>34</v>
      </c>
      <c r="J12" s="11" t="s">
        <v>36</v>
      </c>
      <c r="K12" s="11" t="s">
        <v>37</v>
      </c>
      <c r="L12" s="11" t="s">
        <v>35</v>
      </c>
      <c r="M12" s="11" t="s">
        <v>39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 t="s">
        <v>93</v>
      </c>
      <c r="AR12" s="3"/>
      <c r="AS12" s="3"/>
      <c r="AT12" s="3"/>
      <c r="AU12" s="3"/>
      <c r="AV12" s="3"/>
    </row>
    <row r="13">
      <c r="A13" s="3"/>
      <c r="B13" s="3"/>
      <c r="C13" s="3"/>
      <c r="D13" s="13">
        <v>20.0</v>
      </c>
      <c r="E13" s="13">
        <v>31.0</v>
      </c>
      <c r="F13" s="13">
        <v>5.0</v>
      </c>
      <c r="G13" s="13">
        <v>194.0</v>
      </c>
      <c r="H13" s="13">
        <v>9.0</v>
      </c>
      <c r="I13" s="13">
        <v>216.0</v>
      </c>
      <c r="J13" s="13">
        <v>33.0</v>
      </c>
      <c r="K13" s="13">
        <v>33.0</v>
      </c>
      <c r="L13" s="13">
        <v>96.0</v>
      </c>
      <c r="M13" s="13">
        <v>0.87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6" t="s">
        <v>94</v>
      </c>
      <c r="AR13" s="3"/>
      <c r="AS13" s="3"/>
      <c r="AT13" s="3"/>
      <c r="AU13" s="3"/>
      <c r="AV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>
      <c r="A15" s="3" t="s">
        <v>0</v>
      </c>
      <c r="B15" s="3" t="s">
        <v>1</v>
      </c>
      <c r="C15" s="18" t="s">
        <v>2</v>
      </c>
      <c r="D15" s="18" t="s">
        <v>3</v>
      </c>
      <c r="E15" s="18" t="s">
        <v>4</v>
      </c>
      <c r="F15" s="18" t="s">
        <v>5</v>
      </c>
      <c r="G15" s="18" t="s">
        <v>6</v>
      </c>
      <c r="H15" s="18" t="s">
        <v>7</v>
      </c>
      <c r="I15" s="18" t="s">
        <v>8</v>
      </c>
      <c r="J15" s="18" t="s">
        <v>9</v>
      </c>
      <c r="K15" s="3"/>
      <c r="L15" s="3"/>
      <c r="M15" s="3"/>
      <c r="N15" s="3" t="s">
        <v>11</v>
      </c>
      <c r="O15" s="3" t="s">
        <v>12</v>
      </c>
      <c r="P15" s="3" t="s">
        <v>14</v>
      </c>
      <c r="Q15" s="3" t="s">
        <v>15</v>
      </c>
      <c r="R15" s="3" t="s">
        <v>80</v>
      </c>
      <c r="S15" s="3" t="s">
        <v>81</v>
      </c>
      <c r="T15" s="3" t="s">
        <v>18</v>
      </c>
      <c r="U15" s="3" t="s">
        <v>19</v>
      </c>
      <c r="V15" s="3" t="s">
        <v>20</v>
      </c>
      <c r="W15" s="3" t="s">
        <v>21</v>
      </c>
      <c r="X15" s="3" t="s">
        <v>22</v>
      </c>
      <c r="Y15" s="3" t="s">
        <v>82</v>
      </c>
      <c r="Z15" s="3" t="s">
        <v>83</v>
      </c>
      <c r="AA15" s="3" t="s">
        <v>84</v>
      </c>
      <c r="AB15" s="3" t="s">
        <v>25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>
      <c r="A16" s="3" t="s">
        <v>95</v>
      </c>
      <c r="B16" s="13">
        <v>2023.0</v>
      </c>
      <c r="C16" s="19">
        <v>4.33</v>
      </c>
      <c r="D16" s="19">
        <v>5868.0</v>
      </c>
      <c r="E16" s="19">
        <v>15819.0</v>
      </c>
      <c r="F16" s="19">
        <v>2112.0</v>
      </c>
      <c r="G16" s="19">
        <v>41843.0</v>
      </c>
      <c r="H16" s="19">
        <v>4542.0</v>
      </c>
      <c r="I16" s="19">
        <v>43087.333</v>
      </c>
      <c r="J16" s="19">
        <v>4.69</v>
      </c>
      <c r="K16" s="3"/>
      <c r="L16" s="3"/>
      <c r="M16" s="3"/>
      <c r="N16" s="13">
        <f>C16 - ((13*D16)+(3*(E16+F16))-(2*(G16+H16)))/I16</f>
        <v>3.464153882</v>
      </c>
      <c r="O16" s="13">
        <f>((13*D20)+(3*(E20+F20))-(2*(G20+H20)))/I20 + N16</f>
        <v>3.065163983</v>
      </c>
      <c r="P16" s="13">
        <f>O16 + (J16-C16)</f>
        <v>3.425163983</v>
      </c>
      <c r="Q16" s="13">
        <f>P16 / (L20/100)</f>
        <v>3.425163983</v>
      </c>
      <c r="R16" s="13">
        <f>((13*D18) + (3*(E18 + F18))-(2*(G18+H18)))/I18 + N16</f>
        <v>4.380532551</v>
      </c>
      <c r="S16" s="13">
        <f>R16 + ((J16-C16))</f>
        <v>4.740532551</v>
      </c>
      <c r="T16" s="13">
        <f>S16-Q16</f>
        <v>1.315368567</v>
      </c>
      <c r="U16" s="13">
        <f>(((((18-(I20/J20))*(S16))+((I20/J20)*Q16))/18)+2)*1.5</f>
        <v>9.432561908</v>
      </c>
      <c r="V16" s="13">
        <f>T16/U16</f>
        <v>0.1394497677</v>
      </c>
      <c r="W16" s="13">
        <f>0.03*(1-(K20/J20))+0.12*(K20/J20)</f>
        <v>0.12</v>
      </c>
      <c r="X16" s="13">
        <f>V16+W16</f>
        <v>0.2594497677</v>
      </c>
      <c r="Y16" s="13">
        <f>X16*(I20/9)</f>
        <v>5.70789489</v>
      </c>
      <c r="Z16" s="13">
        <f>(1 + M20) / 2</f>
        <v>0.935</v>
      </c>
      <c r="AA16" s="13">
        <f>((-0.0012+-0.0007)/2) * I20</f>
        <v>-0.1881</v>
      </c>
      <c r="AB16" s="13">
        <f>(Y16 * Z16) + AA16</f>
        <v>5.148781722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>
      <c r="A17" s="3"/>
      <c r="B17" s="3"/>
      <c r="C17" s="20" t="s">
        <v>90</v>
      </c>
      <c r="D17" s="20" t="s">
        <v>41</v>
      </c>
      <c r="E17" s="20" t="s">
        <v>42</v>
      </c>
      <c r="F17" s="20" t="s">
        <v>43</v>
      </c>
      <c r="G17" s="20" t="s">
        <v>44</v>
      </c>
      <c r="H17" s="20" t="s">
        <v>45</v>
      </c>
      <c r="I17" s="20" t="s">
        <v>46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>
      <c r="A18" s="3"/>
      <c r="B18" s="3"/>
      <c r="C18" s="13">
        <v>4.38</v>
      </c>
      <c r="D18" s="19">
        <v>2933.0</v>
      </c>
      <c r="E18" s="19">
        <v>7975.0</v>
      </c>
      <c r="F18" s="19">
        <v>1049.0</v>
      </c>
      <c r="G18" s="19">
        <v>20515.0</v>
      </c>
      <c r="H18" s="19">
        <v>2230.0</v>
      </c>
      <c r="I18" s="19">
        <v>21509.667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>
      <c r="A19" s="3"/>
      <c r="B19" s="3"/>
      <c r="C19" s="3"/>
      <c r="D19" s="11" t="s">
        <v>29</v>
      </c>
      <c r="E19" s="11" t="s">
        <v>30</v>
      </c>
      <c r="F19" s="11" t="s">
        <v>31</v>
      </c>
      <c r="G19" s="11" t="s">
        <v>32</v>
      </c>
      <c r="H19" s="11" t="s">
        <v>33</v>
      </c>
      <c r="I19" s="11" t="s">
        <v>34</v>
      </c>
      <c r="J19" s="11" t="s">
        <v>36</v>
      </c>
      <c r="K19" s="11" t="s">
        <v>37</v>
      </c>
      <c r="L19" s="11" t="s">
        <v>35</v>
      </c>
      <c r="M19" s="11" t="s">
        <v>39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>
      <c r="A20" s="3"/>
      <c r="B20" s="3"/>
      <c r="C20" s="3"/>
      <c r="D20" s="13">
        <v>30.0</v>
      </c>
      <c r="E20" s="13">
        <v>15.0</v>
      </c>
      <c r="F20" s="13">
        <v>4.0</v>
      </c>
      <c r="G20" s="13">
        <v>256.0</v>
      </c>
      <c r="H20" s="13">
        <v>7.0</v>
      </c>
      <c r="I20" s="13">
        <v>198.0</v>
      </c>
      <c r="J20" s="13">
        <v>32.0</v>
      </c>
      <c r="K20" s="13">
        <v>32.0</v>
      </c>
      <c r="L20" s="13">
        <v>100.0</v>
      </c>
      <c r="M20" s="13">
        <v>0.87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>
      <c r="A22" s="3" t="s">
        <v>0</v>
      </c>
      <c r="B22" s="3" t="s">
        <v>1</v>
      </c>
      <c r="C22" s="18" t="s">
        <v>2</v>
      </c>
      <c r="D22" s="18" t="s">
        <v>3</v>
      </c>
      <c r="E22" s="18" t="s">
        <v>4</v>
      </c>
      <c r="F22" s="18" t="s">
        <v>5</v>
      </c>
      <c r="G22" s="18" t="s">
        <v>6</v>
      </c>
      <c r="H22" s="18" t="s">
        <v>7</v>
      </c>
      <c r="I22" s="18" t="s">
        <v>8</v>
      </c>
      <c r="J22" s="18" t="s">
        <v>9</v>
      </c>
      <c r="K22" s="3"/>
      <c r="L22" s="3"/>
      <c r="M22" s="3"/>
      <c r="N22" s="3" t="s">
        <v>11</v>
      </c>
      <c r="O22" s="3" t="s">
        <v>12</v>
      </c>
      <c r="P22" s="3" t="s">
        <v>14</v>
      </c>
      <c r="Q22" s="3" t="s">
        <v>15</v>
      </c>
      <c r="R22" s="3" t="s">
        <v>80</v>
      </c>
      <c r="S22" s="3" t="s">
        <v>81</v>
      </c>
      <c r="T22" s="3" t="s">
        <v>18</v>
      </c>
      <c r="U22" s="3" t="s">
        <v>19</v>
      </c>
      <c r="V22" s="3" t="s">
        <v>20</v>
      </c>
      <c r="W22" s="3" t="s">
        <v>21</v>
      </c>
      <c r="X22" s="3" t="s">
        <v>22</v>
      </c>
      <c r="Y22" s="3" t="s">
        <v>82</v>
      </c>
      <c r="Z22" s="3" t="s">
        <v>83</v>
      </c>
      <c r="AA22" s="3" t="s">
        <v>84</v>
      </c>
      <c r="AB22" s="3" t="s">
        <v>73</v>
      </c>
      <c r="AC22" s="3" t="s">
        <v>85</v>
      </c>
      <c r="AD22" s="3" t="s">
        <v>75</v>
      </c>
      <c r="AE22" s="6" t="s">
        <v>86</v>
      </c>
      <c r="AF22" s="3" t="s">
        <v>87</v>
      </c>
      <c r="AG22" s="3" t="s">
        <v>76</v>
      </c>
      <c r="AH22" s="3" t="s">
        <v>77</v>
      </c>
      <c r="AI22" s="3" t="s">
        <v>78</v>
      </c>
      <c r="AJ22" s="6" t="s">
        <v>88</v>
      </c>
      <c r="AK22" s="3" t="s">
        <v>89</v>
      </c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>
      <c r="A23" s="3" t="s">
        <v>52</v>
      </c>
      <c r="B23" s="13">
        <v>2023.0</v>
      </c>
      <c r="C23" s="19">
        <v>4.33</v>
      </c>
      <c r="D23" s="19">
        <v>5868.0</v>
      </c>
      <c r="E23" s="19">
        <v>15819.0</v>
      </c>
      <c r="F23" s="19">
        <v>2112.0</v>
      </c>
      <c r="G23" s="19">
        <v>41843.0</v>
      </c>
      <c r="H23" s="19">
        <v>4542.0</v>
      </c>
      <c r="I23" s="19">
        <v>43087.333</v>
      </c>
      <c r="J23" s="19">
        <v>4.69</v>
      </c>
      <c r="K23" s="3"/>
      <c r="L23" s="3"/>
      <c r="M23" s="3"/>
      <c r="N23" s="13">
        <f>C23 - ((13*D23)+(3*(E23+F23))-(2*(G23+H23)))/I23</f>
        <v>3.464153882</v>
      </c>
      <c r="O23" s="13">
        <f>((13*D27)+(3*(E27+F27))-(2*(G27+H27)))/I27 + N23</f>
        <v>3.536376105</v>
      </c>
      <c r="P23" s="13">
        <f>O23 + (J23-C23)</f>
        <v>3.896376105</v>
      </c>
      <c r="Q23" s="13">
        <f>P23 / (L27/100)</f>
        <v>3.896376105</v>
      </c>
      <c r="R23" s="13">
        <f>((13*D25) + (3*(E25 + F25))-(2*(G25+H25)))/I25 + N23</f>
        <v>4.380532551</v>
      </c>
      <c r="S23" s="13">
        <f>R23 + ((J23-C23))</f>
        <v>4.740532551</v>
      </c>
      <c r="T23" s="13">
        <f>S23-Q23</f>
        <v>0.844156446</v>
      </c>
      <c r="U23" s="13">
        <f>(((((18-(I27/J27))*(S23))+((I27/J27)*Q23))/18)+2)*1.5</f>
        <v>9.715100492</v>
      </c>
      <c r="V23" s="13">
        <f>T23/U23</f>
        <v>0.08689116976</v>
      </c>
      <c r="W23" s="13">
        <f>0.03*(1-(K27/J27))+0.12*(K27/J27)</f>
        <v>0.12</v>
      </c>
      <c r="X23" s="13">
        <f>V23+W23</f>
        <v>0.2068911698</v>
      </c>
      <c r="Y23" s="13">
        <f>X23*(I27/9)</f>
        <v>4.137823395</v>
      </c>
      <c r="Z23" s="13">
        <f>(1 + M27) / 2</f>
        <v>0.935</v>
      </c>
      <c r="AA23" s="13">
        <f>((-0.0012+-0.0007)/2) * I27</f>
        <v>-0.171</v>
      </c>
      <c r="AB23" s="13">
        <f>(Y23 * Z23) + AA23</f>
        <v>3.697864874</v>
      </c>
      <c r="AC23" s="13">
        <f>Y23*Z23</f>
        <v>3.868864874</v>
      </c>
      <c r="AD23" s="13">
        <f>Y23 + AA23</f>
        <v>3.966823395</v>
      </c>
      <c r="AE23" s="13">
        <f>Y23</f>
        <v>4.137823395</v>
      </c>
      <c r="AF23" s="13">
        <v>4.2</v>
      </c>
      <c r="AG23" s="13">
        <f>ABS((AB23-AF23))</f>
        <v>0.5021351256</v>
      </c>
      <c r="AH23" s="13">
        <f>ABS(AF23-AC23)</f>
        <v>0.3311351256</v>
      </c>
      <c r="AI23" s="13">
        <f>ABS(AF23-AD23)</f>
        <v>0.2331766049</v>
      </c>
      <c r="AJ23" s="13">
        <f>abs(AF23-AE23)</f>
        <v>0.06217660487</v>
      </c>
      <c r="AK23" s="13">
        <f>(AG23 + AH23 + AI23 + AJ23)/4</f>
        <v>0.2821558652</v>
      </c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>
      <c r="A24" s="3"/>
      <c r="B24" s="3"/>
      <c r="C24" s="20" t="s">
        <v>90</v>
      </c>
      <c r="D24" s="20" t="s">
        <v>41</v>
      </c>
      <c r="E24" s="20" t="s">
        <v>42</v>
      </c>
      <c r="F24" s="20" t="s">
        <v>43</v>
      </c>
      <c r="G24" s="20" t="s">
        <v>44</v>
      </c>
      <c r="H24" s="20" t="s">
        <v>45</v>
      </c>
      <c r="I24" s="20" t="s">
        <v>46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>
      <c r="A25" s="3"/>
      <c r="B25" s="3"/>
      <c r="C25" s="13">
        <v>4.38</v>
      </c>
      <c r="D25" s="19">
        <v>2933.0</v>
      </c>
      <c r="E25" s="19">
        <v>7975.0</v>
      </c>
      <c r="F25" s="19">
        <v>1049.0</v>
      </c>
      <c r="G25" s="19">
        <v>20515.0</v>
      </c>
      <c r="H25" s="19">
        <v>2230.0</v>
      </c>
      <c r="I25" s="19">
        <v>21509.667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>
      <c r="A26" s="3"/>
      <c r="B26" s="3"/>
      <c r="C26" s="3"/>
      <c r="D26" s="11" t="s">
        <v>29</v>
      </c>
      <c r="E26" s="11" t="s">
        <v>30</v>
      </c>
      <c r="F26" s="11" t="s">
        <v>31</v>
      </c>
      <c r="G26" s="11" t="s">
        <v>32</v>
      </c>
      <c r="H26" s="11" t="s">
        <v>33</v>
      </c>
      <c r="I26" s="11" t="s">
        <v>34</v>
      </c>
      <c r="J26" s="11" t="s">
        <v>36</v>
      </c>
      <c r="K26" s="11" t="s">
        <v>37</v>
      </c>
      <c r="L26" s="11" t="s">
        <v>35</v>
      </c>
      <c r="M26" s="11" t="s">
        <v>39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>
      <c r="A27" s="3"/>
      <c r="B27" s="3"/>
      <c r="C27" s="3"/>
      <c r="D27" s="13">
        <v>15.0</v>
      </c>
      <c r="E27" s="13">
        <v>99.0</v>
      </c>
      <c r="F27" s="13">
        <v>3.0</v>
      </c>
      <c r="G27" s="13">
        <v>234.0</v>
      </c>
      <c r="H27" s="13">
        <v>10.0</v>
      </c>
      <c r="I27" s="13">
        <v>180.0</v>
      </c>
      <c r="J27" s="13">
        <v>32.0</v>
      </c>
      <c r="K27" s="13">
        <v>32.0</v>
      </c>
      <c r="L27" s="13">
        <v>100.0</v>
      </c>
      <c r="M27" s="13">
        <v>0.87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>
      <c r="A29" s="3" t="s">
        <v>0</v>
      </c>
      <c r="B29" s="3" t="s">
        <v>1</v>
      </c>
      <c r="C29" s="18" t="s">
        <v>2</v>
      </c>
      <c r="D29" s="18" t="s">
        <v>3</v>
      </c>
      <c r="E29" s="18" t="s">
        <v>4</v>
      </c>
      <c r="F29" s="18" t="s">
        <v>5</v>
      </c>
      <c r="G29" s="18" t="s">
        <v>6</v>
      </c>
      <c r="H29" s="18" t="s">
        <v>7</v>
      </c>
      <c r="I29" s="18" t="s">
        <v>8</v>
      </c>
      <c r="J29" s="18" t="s">
        <v>9</v>
      </c>
      <c r="K29" s="3"/>
      <c r="L29" s="3"/>
      <c r="M29" s="3"/>
      <c r="N29" s="3" t="s">
        <v>11</v>
      </c>
      <c r="O29" s="3" t="s">
        <v>12</v>
      </c>
      <c r="P29" s="3" t="s">
        <v>14</v>
      </c>
      <c r="Q29" s="3" t="s">
        <v>15</v>
      </c>
      <c r="R29" s="3" t="s">
        <v>80</v>
      </c>
      <c r="S29" s="3" t="s">
        <v>81</v>
      </c>
      <c r="T29" s="3" t="s">
        <v>18</v>
      </c>
      <c r="U29" s="3" t="s">
        <v>19</v>
      </c>
      <c r="V29" s="3" t="s">
        <v>20</v>
      </c>
      <c r="W29" s="3" t="s">
        <v>21</v>
      </c>
      <c r="X29" s="3" t="s">
        <v>22</v>
      </c>
      <c r="Y29" s="3" t="s">
        <v>82</v>
      </c>
      <c r="Z29" s="3" t="s">
        <v>83</v>
      </c>
      <c r="AA29" s="3" t="s">
        <v>84</v>
      </c>
      <c r="AB29" s="3" t="s">
        <v>73</v>
      </c>
      <c r="AC29" s="3" t="s">
        <v>85</v>
      </c>
      <c r="AD29" s="3" t="s">
        <v>75</v>
      </c>
      <c r="AE29" s="6" t="s">
        <v>86</v>
      </c>
      <c r="AF29" s="3" t="s">
        <v>87</v>
      </c>
      <c r="AG29" s="3" t="s">
        <v>76</v>
      </c>
      <c r="AH29" s="3" t="s">
        <v>77</v>
      </c>
      <c r="AI29" s="3" t="s">
        <v>78</v>
      </c>
      <c r="AJ29" s="6" t="s">
        <v>88</v>
      </c>
      <c r="AK29" s="3" t="s">
        <v>89</v>
      </c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>
      <c r="A30" s="3" t="s">
        <v>53</v>
      </c>
      <c r="B30" s="13">
        <v>2023.0</v>
      </c>
      <c r="C30" s="19">
        <v>4.33</v>
      </c>
      <c r="D30" s="19">
        <v>5868.0</v>
      </c>
      <c r="E30" s="19">
        <v>15819.0</v>
      </c>
      <c r="F30" s="19">
        <v>2112.0</v>
      </c>
      <c r="G30" s="19">
        <v>41843.0</v>
      </c>
      <c r="H30" s="19">
        <v>4542.0</v>
      </c>
      <c r="I30" s="19">
        <v>43087.333</v>
      </c>
      <c r="J30" s="19">
        <v>4.69</v>
      </c>
      <c r="K30" s="3"/>
      <c r="L30" s="3"/>
      <c r="M30" s="3"/>
      <c r="N30" s="13">
        <f>C30 - ((13*D30)+(3*(E30+F30))-(2*(G30+H30)))/I30</f>
        <v>3.464153882</v>
      </c>
      <c r="O30" s="13">
        <f>((13*D34)+(3*(E34+F34))-(2*(G34+H34)))/I34 + N30</f>
        <v>3.200995988</v>
      </c>
      <c r="P30" s="13">
        <f>O30 + (J30-C30)</f>
        <v>3.560995988</v>
      </c>
      <c r="Q30" s="13">
        <f>P30 / (L34/100)</f>
        <v>3.457277658</v>
      </c>
      <c r="R30" s="13">
        <f>((13*D32) + (3*(E32 + F32))-(2*(G32+H32)))/I32 + N30</f>
        <v>4.279626658</v>
      </c>
      <c r="S30" s="13">
        <f>R30 + ((J30-C30))</f>
        <v>4.639626658</v>
      </c>
      <c r="T30" s="13">
        <f>S30-Q30</f>
        <v>1.182349</v>
      </c>
      <c r="U30" s="13">
        <f>(((((18-(I34/J34))*(S30))+((I34/J34)*Q30))/18)+2)*1.5</f>
        <v>9.335422459</v>
      </c>
      <c r="V30" s="13">
        <f>T30/U30</f>
        <v>0.1266519009</v>
      </c>
      <c r="W30" s="13">
        <f>0.03*(1-(K34/J34))+0.12*(K34/J34)</f>
        <v>0.12</v>
      </c>
      <c r="X30" s="13">
        <f>V30+W30</f>
        <v>0.2466519009</v>
      </c>
      <c r="Y30" s="13">
        <f>X30*(I34/9)</f>
        <v>5.727805254</v>
      </c>
      <c r="Z30" s="13">
        <f>(1 + M34) / 2</f>
        <v>0.935</v>
      </c>
      <c r="AA30" s="13">
        <f>((-0.0012+-0.0007)/2) * I34</f>
        <v>-0.19855</v>
      </c>
      <c r="AB30" s="13">
        <f>(Y30 * Z30) + AA30</f>
        <v>5.156947913</v>
      </c>
      <c r="AC30" s="13">
        <f>Y30*Z30</f>
        <v>5.355497913</v>
      </c>
      <c r="AD30" s="13">
        <f>Y30 + AA30</f>
        <v>5.529255254</v>
      </c>
      <c r="AE30" s="13">
        <f>Y30</f>
        <v>5.727805254</v>
      </c>
      <c r="AF30" s="13">
        <v>5.4</v>
      </c>
      <c r="AG30" s="13">
        <f>ABS((AB30-AF30))</f>
        <v>0.2430520874</v>
      </c>
      <c r="AH30" s="13">
        <f>ABS(AF30-AC30)</f>
        <v>0.0445020874</v>
      </c>
      <c r="AI30" s="13">
        <f>ABS(AF30-AD30)</f>
        <v>0.1292552541</v>
      </c>
      <c r="AJ30" s="13">
        <f>abs(AF30-AE30)</f>
        <v>0.3278052541</v>
      </c>
      <c r="AK30" s="13">
        <f>(AG30 + AH30 + AI30 + AJ30)/4</f>
        <v>0.1861536708</v>
      </c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>
      <c r="A31" s="3"/>
      <c r="B31" s="3"/>
      <c r="C31" s="20" t="s">
        <v>90</v>
      </c>
      <c r="D31" s="20" t="s">
        <v>41</v>
      </c>
      <c r="E31" s="20" t="s">
        <v>42</v>
      </c>
      <c r="F31" s="20" t="s">
        <v>43</v>
      </c>
      <c r="G31" s="20" t="s">
        <v>44</v>
      </c>
      <c r="H31" s="20" t="s">
        <v>45</v>
      </c>
      <c r="I31" s="20" t="s">
        <v>46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>
      <c r="A32" s="3"/>
      <c r="B32" s="3"/>
      <c r="C32" s="13">
        <v>4.28</v>
      </c>
      <c r="D32" s="19">
        <v>2935.0</v>
      </c>
      <c r="E32" s="19">
        <v>7844.0</v>
      </c>
      <c r="F32" s="19">
        <v>1063.0</v>
      </c>
      <c r="G32" s="19">
        <v>21328.0</v>
      </c>
      <c r="H32" s="19">
        <v>2312.0</v>
      </c>
      <c r="I32" s="19">
        <v>21577.667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>
      <c r="A33" s="3"/>
      <c r="B33" s="3"/>
      <c r="C33" s="3"/>
      <c r="D33" s="11" t="s">
        <v>29</v>
      </c>
      <c r="E33" s="11" t="s">
        <v>30</v>
      </c>
      <c r="F33" s="11" t="s">
        <v>31</v>
      </c>
      <c r="G33" s="11" t="s">
        <v>32</v>
      </c>
      <c r="H33" s="11" t="s">
        <v>33</v>
      </c>
      <c r="I33" s="11" t="s">
        <v>34</v>
      </c>
      <c r="J33" s="11" t="s">
        <v>36</v>
      </c>
      <c r="K33" s="11" t="s">
        <v>37</v>
      </c>
      <c r="L33" s="11" t="s">
        <v>35</v>
      </c>
      <c r="M33" s="11" t="s">
        <v>39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>
      <c r="A34" s="3"/>
      <c r="B34" s="3"/>
      <c r="C34" s="3"/>
      <c r="D34" s="13">
        <v>20.0</v>
      </c>
      <c r="E34" s="13">
        <v>48.0</v>
      </c>
      <c r="F34" s="13">
        <v>7.0</v>
      </c>
      <c r="G34" s="13">
        <v>222.0</v>
      </c>
      <c r="H34" s="13">
        <v>18.0</v>
      </c>
      <c r="I34" s="13">
        <v>209.0</v>
      </c>
      <c r="J34" s="13">
        <v>33.0</v>
      </c>
      <c r="K34" s="13">
        <v>33.0</v>
      </c>
      <c r="L34" s="13">
        <v>103.0</v>
      </c>
      <c r="M34" s="13">
        <v>0.87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>
      <c r="A36" s="3" t="s">
        <v>0</v>
      </c>
      <c r="B36" s="3" t="s">
        <v>1</v>
      </c>
      <c r="C36" s="18" t="s">
        <v>2</v>
      </c>
      <c r="D36" s="18" t="s">
        <v>3</v>
      </c>
      <c r="E36" s="18" t="s">
        <v>4</v>
      </c>
      <c r="F36" s="18" t="s">
        <v>5</v>
      </c>
      <c r="G36" s="18" t="s">
        <v>6</v>
      </c>
      <c r="H36" s="18" t="s">
        <v>7</v>
      </c>
      <c r="I36" s="18" t="s">
        <v>8</v>
      </c>
      <c r="J36" s="18" t="s">
        <v>9</v>
      </c>
      <c r="K36" s="3"/>
      <c r="L36" s="3"/>
      <c r="M36" s="3"/>
      <c r="N36" s="3" t="s">
        <v>11</v>
      </c>
      <c r="O36" s="3" t="s">
        <v>12</v>
      </c>
      <c r="P36" s="3" t="s">
        <v>14</v>
      </c>
      <c r="Q36" s="3" t="s">
        <v>15</v>
      </c>
      <c r="R36" s="3" t="s">
        <v>80</v>
      </c>
      <c r="S36" s="3" t="s">
        <v>81</v>
      </c>
      <c r="T36" s="3" t="s">
        <v>18</v>
      </c>
      <c r="U36" s="3" t="s">
        <v>19</v>
      </c>
      <c r="V36" s="3" t="s">
        <v>20</v>
      </c>
      <c r="W36" s="3" t="s">
        <v>21</v>
      </c>
      <c r="X36" s="3" t="s">
        <v>22</v>
      </c>
      <c r="Y36" s="3" t="s">
        <v>82</v>
      </c>
      <c r="Z36" s="3" t="s">
        <v>83</v>
      </c>
      <c r="AA36" s="3" t="s">
        <v>84</v>
      </c>
      <c r="AB36" s="3" t="s">
        <v>73</v>
      </c>
      <c r="AC36" s="3" t="s">
        <v>85</v>
      </c>
      <c r="AD36" s="3" t="s">
        <v>75</v>
      </c>
      <c r="AE36" s="6" t="s">
        <v>86</v>
      </c>
      <c r="AF36" s="3" t="s">
        <v>87</v>
      </c>
      <c r="AG36" s="3" t="s">
        <v>76</v>
      </c>
      <c r="AH36" s="3" t="s">
        <v>77</v>
      </c>
      <c r="AI36" s="3" t="s">
        <v>78</v>
      </c>
      <c r="AJ36" s="6" t="s">
        <v>88</v>
      </c>
      <c r="AK36" s="3" t="s">
        <v>89</v>
      </c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>
      <c r="A37" s="3" t="s">
        <v>55</v>
      </c>
      <c r="B37" s="13">
        <v>2022.0</v>
      </c>
      <c r="C37" s="19">
        <v>3.97</v>
      </c>
      <c r="D37" s="19">
        <v>5215.0</v>
      </c>
      <c r="E37" s="19">
        <v>14853.0</v>
      </c>
      <c r="F37" s="19">
        <v>2046.0</v>
      </c>
      <c r="G37" s="19">
        <v>40812.0</v>
      </c>
      <c r="H37" s="19">
        <v>4674.0</v>
      </c>
      <c r="I37" s="19">
        <v>43075.333</v>
      </c>
      <c r="J37" s="19">
        <v>4.35</v>
      </c>
      <c r="K37" s="3"/>
      <c r="L37" s="3"/>
      <c r="M37" s="3"/>
      <c r="N37" s="13">
        <f>C37 - ((13*D37)+(3*(E37+F37))-(2*(G37+H37)))/I37</f>
        <v>3.331119274</v>
      </c>
      <c r="O37" s="13">
        <f>((13*D41)+(3*(E41+F41))-(2*(G41+H41)))/I41 + N37</f>
        <v>2.985638729</v>
      </c>
      <c r="P37" s="13">
        <f>O37 + (J37-C37)</f>
        <v>3.365638729</v>
      </c>
      <c r="Q37" s="13">
        <f>P37 / (L41/100)</f>
        <v>3.399635079</v>
      </c>
      <c r="R37" s="13">
        <f>((13*D39) + (3*(E39 + F39))-(2*(G39+H39)))/I39 + N37</f>
        <v>4.003853579</v>
      </c>
      <c r="S37" s="13">
        <f>R37 + ((J37-C37))</f>
        <v>4.383853579</v>
      </c>
      <c r="T37" s="13">
        <f>S37-Q37</f>
        <v>0.9842184992</v>
      </c>
      <c r="U37" s="13">
        <f>(((((18-(I41/J41))*(S37))+((I41/J41)*Q37))/18)+2)*1.5</f>
        <v>8.989691067</v>
      </c>
      <c r="V37" s="13">
        <f>T37/U37</f>
        <v>0.1094830169</v>
      </c>
      <c r="W37" s="13">
        <f>0.03*(1-(K41/J41))+0.12*(K41/J41)</f>
        <v>0.12</v>
      </c>
      <c r="X37" s="13">
        <f>V37+W37</f>
        <v>0.2294830169</v>
      </c>
      <c r="Y37" s="13">
        <f>X37*(I41/9)</f>
        <v>5.830577003</v>
      </c>
      <c r="Z37" s="13">
        <f>(1 + M41) / 2</f>
        <v>0.935</v>
      </c>
      <c r="AA37" s="13">
        <f>((-0.0012+-0.0007)/2) * I41</f>
        <v>-0.21723365</v>
      </c>
      <c r="AB37" s="13">
        <f>(Y37 * Z37) + AA37</f>
        <v>5.234355848</v>
      </c>
      <c r="AC37" s="13">
        <f>Y37*Z37</f>
        <v>5.451589498</v>
      </c>
      <c r="AD37" s="13">
        <f>Y37 + AA37</f>
        <v>5.613343353</v>
      </c>
      <c r="AE37" s="13">
        <f>Y37</f>
        <v>5.830577003</v>
      </c>
      <c r="AF37" s="13">
        <v>5.9</v>
      </c>
      <c r="AG37" s="13">
        <f>ABS((AB37-AF37))</f>
        <v>0.6656441518</v>
      </c>
      <c r="AH37" s="13">
        <f>ABS(AF37-AC37)</f>
        <v>0.4484105018</v>
      </c>
      <c r="AI37" s="13">
        <f>ABS(AF37-AD37)</f>
        <v>0.2866566465</v>
      </c>
      <c r="AJ37" s="13">
        <f>abs(AF37-AE37)</f>
        <v>0.06942299655</v>
      </c>
      <c r="AK37" s="13">
        <f>(AG37 + AH37 + AI37 + AJ37)/4</f>
        <v>0.3675335742</v>
      </c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>
      <c r="A38" s="3"/>
      <c r="B38" s="3"/>
      <c r="C38" s="20" t="s">
        <v>90</v>
      </c>
      <c r="D38" s="20" t="s">
        <v>41</v>
      </c>
      <c r="E38" s="20" t="s">
        <v>42</v>
      </c>
      <c r="F38" s="20" t="s">
        <v>43</v>
      </c>
      <c r="G38" s="20" t="s">
        <v>44</v>
      </c>
      <c r="H38" s="20" t="s">
        <v>45</v>
      </c>
      <c r="I38" s="20" t="s">
        <v>46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>
      <c r="A39" s="3"/>
      <c r="B39" s="3"/>
      <c r="C39" s="13">
        <v>4.05</v>
      </c>
      <c r="D39" s="19">
        <v>2636.0</v>
      </c>
      <c r="E39" s="19">
        <v>7567.0</v>
      </c>
      <c r="F39" s="19">
        <v>1082.0</v>
      </c>
      <c r="G39" s="19">
        <v>20642.0</v>
      </c>
      <c r="H39" s="19">
        <v>2228.0</v>
      </c>
      <c r="I39" s="19">
        <v>21516.667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>
      <c r="A40" s="3"/>
      <c r="B40" s="3"/>
      <c r="C40" s="3"/>
      <c r="D40" s="11" t="s">
        <v>29</v>
      </c>
      <c r="E40" s="11" t="s">
        <v>30</v>
      </c>
      <c r="F40" s="11" t="s">
        <v>31</v>
      </c>
      <c r="G40" s="11" t="s">
        <v>32</v>
      </c>
      <c r="H40" s="11" t="s">
        <v>33</v>
      </c>
      <c r="I40" s="11" t="s">
        <v>34</v>
      </c>
      <c r="J40" s="11" t="s">
        <v>36</v>
      </c>
      <c r="K40" s="11" t="s">
        <v>37</v>
      </c>
      <c r="L40" s="11" t="s">
        <v>35</v>
      </c>
      <c r="M40" s="11" t="s">
        <v>39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>
      <c r="A41" s="3"/>
      <c r="B41" s="3"/>
      <c r="C41" s="3"/>
      <c r="D41" s="13">
        <v>16.0</v>
      </c>
      <c r="E41" s="13">
        <v>48.0</v>
      </c>
      <c r="F41" s="13">
        <v>9.0</v>
      </c>
      <c r="G41" s="13">
        <v>207.0</v>
      </c>
      <c r="H41" s="13">
        <v>22.0</v>
      </c>
      <c r="I41" s="13">
        <v>228.667</v>
      </c>
      <c r="J41" s="13">
        <v>32.0</v>
      </c>
      <c r="K41" s="13">
        <v>32.0</v>
      </c>
      <c r="L41" s="13">
        <v>99.0</v>
      </c>
      <c r="M41" s="13">
        <v>0.87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>
      <c r="A43" s="3" t="s">
        <v>0</v>
      </c>
      <c r="B43" s="3" t="s">
        <v>1</v>
      </c>
      <c r="C43" s="18" t="s">
        <v>2</v>
      </c>
      <c r="D43" s="18" t="s">
        <v>3</v>
      </c>
      <c r="E43" s="18" t="s">
        <v>4</v>
      </c>
      <c r="F43" s="18" t="s">
        <v>5</v>
      </c>
      <c r="G43" s="18" t="s">
        <v>6</v>
      </c>
      <c r="H43" s="18" t="s">
        <v>7</v>
      </c>
      <c r="I43" s="18" t="s">
        <v>8</v>
      </c>
      <c r="J43" s="18" t="s">
        <v>9</v>
      </c>
      <c r="K43" s="3"/>
      <c r="L43" s="3"/>
      <c r="M43" s="3"/>
      <c r="N43" s="3" t="s">
        <v>11</v>
      </c>
      <c r="O43" s="3" t="s">
        <v>12</v>
      </c>
      <c r="P43" s="3" t="s">
        <v>14</v>
      </c>
      <c r="Q43" s="3" t="s">
        <v>15</v>
      </c>
      <c r="R43" s="3" t="s">
        <v>80</v>
      </c>
      <c r="S43" s="3" t="s">
        <v>81</v>
      </c>
      <c r="T43" s="3" t="s">
        <v>18</v>
      </c>
      <c r="U43" s="3" t="s">
        <v>19</v>
      </c>
      <c r="V43" s="3" t="s">
        <v>20</v>
      </c>
      <c r="W43" s="3" t="s">
        <v>21</v>
      </c>
      <c r="X43" s="3" t="s">
        <v>22</v>
      </c>
      <c r="Y43" s="3" t="s">
        <v>82</v>
      </c>
      <c r="Z43" s="3" t="s">
        <v>83</v>
      </c>
      <c r="AA43" s="3" t="s">
        <v>84</v>
      </c>
      <c r="AB43" s="3" t="s">
        <v>73</v>
      </c>
      <c r="AC43" s="3" t="s">
        <v>85</v>
      </c>
      <c r="AD43" s="3" t="s">
        <v>75</v>
      </c>
      <c r="AE43" s="6" t="s">
        <v>86</v>
      </c>
      <c r="AF43" s="3" t="s">
        <v>87</v>
      </c>
      <c r="AG43" s="3" t="s">
        <v>76</v>
      </c>
      <c r="AH43" s="3" t="s">
        <v>77</v>
      </c>
      <c r="AI43" s="3" t="s">
        <v>78</v>
      </c>
      <c r="AJ43" s="6" t="s">
        <v>88</v>
      </c>
      <c r="AK43" s="3" t="s">
        <v>89</v>
      </c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>
      <c r="A44" s="3" t="s">
        <v>56</v>
      </c>
      <c r="B44" s="13">
        <v>2022.0</v>
      </c>
      <c r="C44" s="19">
        <v>3.97</v>
      </c>
      <c r="D44" s="19">
        <v>5215.0</v>
      </c>
      <c r="E44" s="19">
        <v>14853.0</v>
      </c>
      <c r="F44" s="19">
        <v>2046.0</v>
      </c>
      <c r="G44" s="19">
        <v>40812.0</v>
      </c>
      <c r="H44" s="19">
        <v>4674.0</v>
      </c>
      <c r="I44" s="19">
        <v>43075.333</v>
      </c>
      <c r="J44" s="19">
        <v>4.35</v>
      </c>
      <c r="K44" s="3"/>
      <c r="L44" s="3"/>
      <c r="M44" s="3"/>
      <c r="N44" s="13">
        <f>C44 - ((13*D44)+(3*(E44+F44))-(2*(G44+H44)))/I44</f>
        <v>3.331119274</v>
      </c>
      <c r="O44" s="13">
        <f>((13*D48)+(3*(E48+F48))-(2*(G48+H48)))/I48 + N44</f>
        <v>2.273976417</v>
      </c>
      <c r="P44" s="13">
        <f>O44 + (J44-C44)</f>
        <v>2.653976417</v>
      </c>
      <c r="Q44" s="13">
        <f>P44 / (L48/100)</f>
        <v>2.68078426</v>
      </c>
      <c r="R44" s="13">
        <f>((13*D46) + (3*(E46 + F46))-(2*(G46+H46)))/I46 + N44</f>
        <v>3.936212344</v>
      </c>
      <c r="S44" s="13">
        <f>R44 + ((J44-C44))</f>
        <v>4.316212344</v>
      </c>
      <c r="T44" s="13">
        <f>S44-Q44</f>
        <v>1.635428085</v>
      </c>
      <c r="U44" s="13">
        <f>(((((18-(I48/J48))*(S44))+((I48/J48)*Q44))/18)+2)*1.5</f>
        <v>8.622533056</v>
      </c>
      <c r="V44" s="13">
        <f>T44/U44</f>
        <v>0.1896691</v>
      </c>
      <c r="W44" s="13">
        <f>0.03*(1-(K48/J48))+0.12*(K48/J48)</f>
        <v>0.12</v>
      </c>
      <c r="X44" s="13">
        <f>V44+W44</f>
        <v>0.3096691</v>
      </c>
      <c r="Y44" s="13">
        <f>X44*(I48/9)</f>
        <v>6.021343611</v>
      </c>
      <c r="Z44" s="13">
        <f>(1 + M48) / 2</f>
        <v>0.935</v>
      </c>
      <c r="AA44" s="13">
        <f>((-0.0012+-0.0007)/2) * I48</f>
        <v>-0.16625</v>
      </c>
      <c r="AB44" s="13">
        <f>(Y44 * Z44) + AA44</f>
        <v>5.463706277</v>
      </c>
      <c r="AC44" s="13">
        <f>Y44*Z44</f>
        <v>5.629956277</v>
      </c>
      <c r="AD44" s="13">
        <f>Y44 + AA44</f>
        <v>5.855093611</v>
      </c>
      <c r="AE44" s="13">
        <f>Y44</f>
        <v>6.021343611</v>
      </c>
      <c r="AF44" s="13">
        <v>6.0</v>
      </c>
      <c r="AG44" s="13">
        <f>ABS((AB44-AF44))</f>
        <v>0.5362937234</v>
      </c>
      <c r="AH44" s="13">
        <f>ABS(AF44-AC44)</f>
        <v>0.3700437234</v>
      </c>
      <c r="AI44" s="13">
        <f>ABS(AF44-AD44)</f>
        <v>0.1449063887</v>
      </c>
      <c r="AJ44" s="13">
        <f>abs(AF44-AE44)</f>
        <v>0.02134361131</v>
      </c>
      <c r="AK44" s="13">
        <f>(AG44 + AH44 + AI44 + AJ44)/4</f>
        <v>0.2681468617</v>
      </c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>
      <c r="A45" s="3"/>
      <c r="B45" s="3"/>
      <c r="C45" s="20" t="s">
        <v>90</v>
      </c>
      <c r="D45" s="20" t="s">
        <v>41</v>
      </c>
      <c r="E45" s="20" t="s">
        <v>42</v>
      </c>
      <c r="F45" s="20" t="s">
        <v>43</v>
      </c>
      <c r="G45" s="20" t="s">
        <v>44</v>
      </c>
      <c r="H45" s="20" t="s">
        <v>45</v>
      </c>
      <c r="I45" s="20" t="s">
        <v>46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>
      <c r="A46" s="3"/>
      <c r="B46" s="3"/>
      <c r="C46" s="13">
        <v>3.88</v>
      </c>
      <c r="D46" s="19">
        <v>2579.0</v>
      </c>
      <c r="E46" s="19">
        <v>7286.0</v>
      </c>
      <c r="F46" s="19">
        <v>964.0</v>
      </c>
      <c r="G46" s="19">
        <v>20170.0</v>
      </c>
      <c r="H46" s="19">
        <v>2446.0</v>
      </c>
      <c r="I46" s="19">
        <v>21558.667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>
      <c r="A47" s="3"/>
      <c r="B47" s="3"/>
      <c r="C47" s="3"/>
      <c r="D47" s="11" t="s">
        <v>29</v>
      </c>
      <c r="E47" s="11" t="s">
        <v>30</v>
      </c>
      <c r="F47" s="11" t="s">
        <v>31</v>
      </c>
      <c r="G47" s="11" t="s">
        <v>32</v>
      </c>
      <c r="H47" s="11" t="s">
        <v>33</v>
      </c>
      <c r="I47" s="11" t="s">
        <v>34</v>
      </c>
      <c r="J47" s="11" t="s">
        <v>36</v>
      </c>
      <c r="K47" s="11" t="s">
        <v>37</v>
      </c>
      <c r="L47" s="11" t="s">
        <v>35</v>
      </c>
      <c r="M47" s="11" t="s">
        <v>39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</row>
    <row r="48">
      <c r="A48" s="3"/>
      <c r="B48" s="3"/>
      <c r="C48" s="3"/>
      <c r="D48" s="13">
        <v>12.0</v>
      </c>
      <c r="E48" s="13">
        <v>29.0</v>
      </c>
      <c r="F48" s="13">
        <v>6.0</v>
      </c>
      <c r="G48" s="13">
        <v>185.0</v>
      </c>
      <c r="H48" s="13">
        <v>38.0</v>
      </c>
      <c r="I48" s="13">
        <v>175.0</v>
      </c>
      <c r="J48" s="13">
        <v>28.0</v>
      </c>
      <c r="K48" s="13">
        <v>28.0</v>
      </c>
      <c r="L48" s="13">
        <v>99.0</v>
      </c>
      <c r="M48" s="13">
        <v>0.87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>
      <c r="A50" s="3" t="s">
        <v>0</v>
      </c>
      <c r="B50" s="3" t="s">
        <v>1</v>
      </c>
      <c r="C50" s="18" t="s">
        <v>2</v>
      </c>
      <c r="D50" s="18" t="s">
        <v>3</v>
      </c>
      <c r="E50" s="18" t="s">
        <v>4</v>
      </c>
      <c r="F50" s="18" t="s">
        <v>5</v>
      </c>
      <c r="G50" s="18" t="s">
        <v>6</v>
      </c>
      <c r="H50" s="18" t="s">
        <v>7</v>
      </c>
      <c r="I50" s="18" t="s">
        <v>8</v>
      </c>
      <c r="J50" s="18" t="s">
        <v>9</v>
      </c>
      <c r="K50" s="3"/>
      <c r="L50" s="3"/>
      <c r="M50" s="3"/>
      <c r="N50" s="3" t="s">
        <v>11</v>
      </c>
      <c r="O50" s="3" t="s">
        <v>12</v>
      </c>
      <c r="P50" s="3" t="s">
        <v>14</v>
      </c>
      <c r="Q50" s="3" t="s">
        <v>15</v>
      </c>
      <c r="R50" s="3" t="s">
        <v>80</v>
      </c>
      <c r="S50" s="3" t="s">
        <v>81</v>
      </c>
      <c r="T50" s="3" t="s">
        <v>18</v>
      </c>
      <c r="U50" s="3" t="s">
        <v>19</v>
      </c>
      <c r="V50" s="3" t="s">
        <v>20</v>
      </c>
      <c r="W50" s="3" t="s">
        <v>21</v>
      </c>
      <c r="X50" s="3" t="s">
        <v>22</v>
      </c>
      <c r="Y50" s="3" t="s">
        <v>82</v>
      </c>
      <c r="Z50" s="3" t="s">
        <v>83</v>
      </c>
      <c r="AA50" s="3" t="s">
        <v>84</v>
      </c>
      <c r="AB50" s="3" t="s">
        <v>73</v>
      </c>
      <c r="AC50" s="3" t="s">
        <v>85</v>
      </c>
      <c r="AD50" s="3" t="s">
        <v>75</v>
      </c>
      <c r="AE50" s="6" t="s">
        <v>86</v>
      </c>
      <c r="AF50" s="3" t="s">
        <v>87</v>
      </c>
      <c r="AG50" s="3" t="s">
        <v>76</v>
      </c>
      <c r="AH50" s="3" t="s">
        <v>77</v>
      </c>
      <c r="AI50" s="3" t="s">
        <v>78</v>
      </c>
      <c r="AJ50" s="6" t="s">
        <v>88</v>
      </c>
      <c r="AK50" s="3" t="s">
        <v>89</v>
      </c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>
      <c r="A51" s="3" t="s">
        <v>57</v>
      </c>
      <c r="B51" s="13">
        <v>2021.0</v>
      </c>
      <c r="C51" s="19">
        <v>4.27</v>
      </c>
      <c r="D51" s="19">
        <v>5944.0</v>
      </c>
      <c r="E51" s="19">
        <v>15794.0</v>
      </c>
      <c r="F51" s="19">
        <v>2112.0</v>
      </c>
      <c r="G51" s="19">
        <v>42145.0</v>
      </c>
      <c r="H51" s="19">
        <v>4363.0</v>
      </c>
      <c r="I51" s="19">
        <v>42615.0</v>
      </c>
      <c r="J51" s="19">
        <v>4.65</v>
      </c>
      <c r="K51" s="3"/>
      <c r="L51" s="3"/>
      <c r="M51" s="3"/>
      <c r="N51" s="13">
        <f>C51 - ((13*D51)+(3*(E51+F51))-(2*(G51+H51)))/I51</f>
        <v>3.378905315</v>
      </c>
      <c r="O51" s="13">
        <f>((13*D55)+(3*(E55+F55))-(2*(G55+H55)))/I55 + N51</f>
        <v>1.732198728</v>
      </c>
      <c r="P51" s="13">
        <f>O51 + (J51-C51)</f>
        <v>2.112198728</v>
      </c>
      <c r="Q51" s="13">
        <f>P51 / (L55/100)</f>
        <v>2.09128587</v>
      </c>
      <c r="R51" s="13">
        <f>((13*D53) + (3*(E53 + F53))-(2*(G53+H53)))/I53 + N51</f>
        <v>4.267520753</v>
      </c>
      <c r="S51" s="13">
        <f>R51 + ((J51-C51))</f>
        <v>4.647520753</v>
      </c>
      <c r="T51" s="13">
        <f>S51-Q51</f>
        <v>2.556234884</v>
      </c>
      <c r="U51" s="13">
        <f>(((((18-(I55/J55))*(S51))+((I55/J55)*Q51))/18)+2)*1.5</f>
        <v>8.70077153</v>
      </c>
      <c r="V51" s="13">
        <f>T51/U51</f>
        <v>0.2937940475</v>
      </c>
      <c r="W51" s="13">
        <f>0.03*(1-(K55/J55))+0.12*(K55/J55)</f>
        <v>0.12</v>
      </c>
      <c r="X51" s="13">
        <f>V51+W51</f>
        <v>0.4137940475</v>
      </c>
      <c r="Y51" s="13">
        <f>X51*(I55/9)</f>
        <v>7.678178436</v>
      </c>
      <c r="Z51" s="13">
        <f>(1 + M55) / 2</f>
        <v>0.935</v>
      </c>
      <c r="AA51" s="13">
        <f>((-0.0012+-0.0007)/2) * I55</f>
        <v>-0.15865</v>
      </c>
      <c r="AB51" s="13">
        <f>(Y51 * Z51) + AA51</f>
        <v>7.020446838</v>
      </c>
      <c r="AC51" s="13">
        <f>Y51*Z51</f>
        <v>7.179096838</v>
      </c>
      <c r="AD51" s="13">
        <f>Y51 + AA51</f>
        <v>7.519528436</v>
      </c>
      <c r="AE51" s="13">
        <f>Y51</f>
        <v>7.678178436</v>
      </c>
      <c r="AF51" s="13">
        <v>7.5</v>
      </c>
      <c r="AG51" s="13">
        <f>ABS((AB51-AF51))</f>
        <v>0.4795531623</v>
      </c>
      <c r="AH51" s="13">
        <f>ABS(AF51-AC51)</f>
        <v>0.3209031623</v>
      </c>
      <c r="AI51" s="13">
        <f>ABS(AF51-AD51)</f>
        <v>0.01952843606</v>
      </c>
      <c r="AJ51" s="13">
        <f>abs(AF51-AE51)</f>
        <v>0.1781784361</v>
      </c>
      <c r="AK51" s="13">
        <f>(AG51 + AH51 + AI51 + AJ51)/4</f>
        <v>0.2495407992</v>
      </c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>
      <c r="A52" s="3"/>
      <c r="B52" s="3"/>
      <c r="C52" s="20" t="s">
        <v>90</v>
      </c>
      <c r="D52" s="20" t="s">
        <v>41</v>
      </c>
      <c r="E52" s="20" t="s">
        <v>42</v>
      </c>
      <c r="F52" s="20" t="s">
        <v>43</v>
      </c>
      <c r="G52" s="20" t="s">
        <v>44</v>
      </c>
      <c r="H52" s="20" t="s">
        <v>45</v>
      </c>
      <c r="I52" s="20" t="s">
        <v>46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>
      <c r="A53" s="3"/>
      <c r="B53" s="3"/>
      <c r="C53" s="13">
        <v>4.21</v>
      </c>
      <c r="D53" s="19">
        <v>2901.0</v>
      </c>
      <c r="E53" s="19">
        <v>8053.0</v>
      </c>
      <c r="F53" s="19">
        <v>1123.0</v>
      </c>
      <c r="G53" s="19">
        <v>21162.0</v>
      </c>
      <c r="H53" s="19">
        <v>2010.0</v>
      </c>
      <c r="I53" s="19">
        <v>21265.667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>
      <c r="A54" s="3"/>
      <c r="B54" s="3"/>
      <c r="C54" s="3"/>
      <c r="D54" s="11" t="s">
        <v>29</v>
      </c>
      <c r="E54" s="11" t="s">
        <v>30</v>
      </c>
      <c r="F54" s="11" t="s">
        <v>31</v>
      </c>
      <c r="G54" s="11" t="s">
        <v>32</v>
      </c>
      <c r="H54" s="11" t="s">
        <v>33</v>
      </c>
      <c r="I54" s="11" t="s">
        <v>34</v>
      </c>
      <c r="J54" s="11" t="s">
        <v>36</v>
      </c>
      <c r="K54" s="11" t="s">
        <v>37</v>
      </c>
      <c r="L54" s="11" t="s">
        <v>35</v>
      </c>
      <c r="M54" s="11" t="s">
        <v>39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>
      <c r="A55" s="3"/>
      <c r="B55" s="3"/>
      <c r="C55" s="3"/>
      <c r="D55" s="13">
        <v>7.0</v>
      </c>
      <c r="E55" s="13">
        <v>34.0</v>
      </c>
      <c r="F55" s="13">
        <v>6.0</v>
      </c>
      <c r="G55" s="13">
        <v>234.0</v>
      </c>
      <c r="H55" s="13">
        <v>9.0</v>
      </c>
      <c r="I55" s="13">
        <v>167.0</v>
      </c>
      <c r="J55" s="13">
        <v>28.0</v>
      </c>
      <c r="K55" s="13">
        <v>28.0</v>
      </c>
      <c r="L55" s="13">
        <v>101.0</v>
      </c>
      <c r="M55" s="13">
        <v>0.87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>
      <c r="A57" s="3" t="s">
        <v>0</v>
      </c>
      <c r="B57" s="3" t="s">
        <v>1</v>
      </c>
      <c r="C57" s="18" t="s">
        <v>2</v>
      </c>
      <c r="D57" s="18" t="s">
        <v>3</v>
      </c>
      <c r="E57" s="18" t="s">
        <v>4</v>
      </c>
      <c r="F57" s="18" t="s">
        <v>5</v>
      </c>
      <c r="G57" s="18" t="s">
        <v>6</v>
      </c>
      <c r="H57" s="18" t="s">
        <v>7</v>
      </c>
      <c r="I57" s="18" t="s">
        <v>8</v>
      </c>
      <c r="J57" s="18" t="s">
        <v>9</v>
      </c>
      <c r="K57" s="3"/>
      <c r="L57" s="3"/>
      <c r="M57" s="3"/>
      <c r="N57" s="3" t="s">
        <v>11</v>
      </c>
      <c r="O57" s="3" t="s">
        <v>12</v>
      </c>
      <c r="P57" s="3" t="s">
        <v>14</v>
      </c>
      <c r="Q57" s="3" t="s">
        <v>15</v>
      </c>
      <c r="R57" s="3" t="s">
        <v>80</v>
      </c>
      <c r="S57" s="3" t="s">
        <v>81</v>
      </c>
      <c r="T57" s="3" t="s">
        <v>18</v>
      </c>
      <c r="U57" s="3" t="s">
        <v>19</v>
      </c>
      <c r="V57" s="3" t="s">
        <v>20</v>
      </c>
      <c r="W57" s="3" t="s">
        <v>21</v>
      </c>
      <c r="X57" s="3" t="s">
        <v>22</v>
      </c>
      <c r="Y57" s="3" t="s">
        <v>82</v>
      </c>
      <c r="Z57" s="3" t="s">
        <v>83</v>
      </c>
      <c r="AA57" s="3" t="s">
        <v>84</v>
      </c>
      <c r="AB57" s="3" t="s">
        <v>73</v>
      </c>
      <c r="AC57" s="3" t="s">
        <v>85</v>
      </c>
      <c r="AD57" s="3" t="s">
        <v>75</v>
      </c>
      <c r="AE57" s="6" t="s">
        <v>86</v>
      </c>
      <c r="AF57" s="3" t="s">
        <v>87</v>
      </c>
      <c r="AG57" s="3" t="s">
        <v>76</v>
      </c>
      <c r="AH57" s="3" t="s">
        <v>77</v>
      </c>
      <c r="AI57" s="3" t="s">
        <v>78</v>
      </c>
      <c r="AJ57" s="6" t="s">
        <v>88</v>
      </c>
      <c r="AK57" s="3" t="s">
        <v>89</v>
      </c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>
      <c r="A58" s="3" t="s">
        <v>58</v>
      </c>
      <c r="B58" s="13">
        <v>2021.0</v>
      </c>
      <c r="C58" s="19">
        <v>4.27</v>
      </c>
      <c r="D58" s="19">
        <v>5944.0</v>
      </c>
      <c r="E58" s="19">
        <v>15794.0</v>
      </c>
      <c r="F58" s="19">
        <v>2112.0</v>
      </c>
      <c r="G58" s="19">
        <v>42145.0</v>
      </c>
      <c r="H58" s="19">
        <v>4363.0</v>
      </c>
      <c r="I58" s="19">
        <v>42615.0</v>
      </c>
      <c r="J58" s="19">
        <v>4.65</v>
      </c>
      <c r="K58" s="3"/>
      <c r="L58" s="3"/>
      <c r="M58" s="3"/>
      <c r="N58" s="13">
        <f>C58 - ((13*D58)+(3*(E58+F58))-(2*(G58+H58)))/I58</f>
        <v>3.378905315</v>
      </c>
      <c r="O58" s="13">
        <f>((13*D62)+(3*(E62+F62))-(2*(G62+H62)))/I62 + N58</f>
        <v>3.663388564</v>
      </c>
      <c r="P58" s="13">
        <f>O58 + (J58-C58)</f>
        <v>4.043388564</v>
      </c>
      <c r="Q58" s="13">
        <f>P58 / (L62/100)</f>
        <v>4.084230873</v>
      </c>
      <c r="R58" s="13">
        <f>((13*D60) + (3*(E60 + F60))-(2*(G60+H60)))/I60 + N58</f>
        <v>4.272469531</v>
      </c>
      <c r="S58" s="13">
        <f>R58 + ((J58-C58))</f>
        <v>4.652469531</v>
      </c>
      <c r="T58" s="13">
        <f>S58-Q58</f>
        <v>0.568238658</v>
      </c>
      <c r="U58" s="13">
        <f>(((((18-(I62/J62))*(S58))+((I62/J62)*Q58))/18)+2)*1.5</f>
        <v>9.69261241</v>
      </c>
      <c r="V58" s="13">
        <f>T58/U58</f>
        <v>0.0586259549</v>
      </c>
      <c r="W58" s="13">
        <f>0.03*(1-(K62/J62))+0.12*(K62/J62)</f>
        <v>0.12</v>
      </c>
      <c r="X58" s="13">
        <f>V58+W58</f>
        <v>0.1786259549</v>
      </c>
      <c r="Y58" s="13">
        <f>X58*(I62/9)</f>
        <v>3.837143526</v>
      </c>
      <c r="Z58" s="13">
        <f>(1 + M62) / 2</f>
        <v>0.935</v>
      </c>
      <c r="AA58" s="13">
        <f>((-0.0012+-0.0007)/2) * I62</f>
        <v>-0.18366635</v>
      </c>
      <c r="AB58" s="13">
        <f>(Y58 * Z58) + AA58</f>
        <v>3.404062847</v>
      </c>
      <c r="AC58" s="13">
        <f>Y58*Z58</f>
        <v>3.587729197</v>
      </c>
      <c r="AD58" s="13">
        <f>Y58 + AA58</f>
        <v>3.653477176</v>
      </c>
      <c r="AE58" s="13">
        <f>Y58</f>
        <v>3.837143526</v>
      </c>
      <c r="AF58" s="13">
        <v>3.9</v>
      </c>
      <c r="AG58" s="13">
        <f>ABS((AB58-AF58))</f>
        <v>0.4959371528</v>
      </c>
      <c r="AH58" s="13">
        <f>ABS(AF58-AC58)</f>
        <v>0.3122708028</v>
      </c>
      <c r="AI58" s="13">
        <f>ABS(AF58-AD58)</f>
        <v>0.2465228235</v>
      </c>
      <c r="AJ58" s="13">
        <f>abs(AF58-AE58)</f>
        <v>0.06285647354</v>
      </c>
      <c r="AK58" s="13">
        <f>(AG58 + AH58 + AI58 + AJ58)/4</f>
        <v>0.2793968132</v>
      </c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>
      <c r="A59" s="3"/>
      <c r="B59" s="3"/>
      <c r="C59" s="20" t="s">
        <v>90</v>
      </c>
      <c r="D59" s="20" t="s">
        <v>41</v>
      </c>
      <c r="E59" s="20" t="s">
        <v>42</v>
      </c>
      <c r="F59" s="20" t="s">
        <v>43</v>
      </c>
      <c r="G59" s="20" t="s">
        <v>44</v>
      </c>
      <c r="H59" s="20" t="s">
        <v>45</v>
      </c>
      <c r="I59" s="20" t="s">
        <v>46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>
      <c r="A60" s="3"/>
      <c r="B60" s="3"/>
      <c r="C60" s="13">
        <v>4.33</v>
      </c>
      <c r="D60" s="19">
        <v>3043.0</v>
      </c>
      <c r="E60" s="19">
        <v>7741.0</v>
      </c>
      <c r="F60" s="19">
        <v>989.0</v>
      </c>
      <c r="G60" s="19">
        <v>20983.0</v>
      </c>
      <c r="H60" s="19">
        <v>2353.0</v>
      </c>
      <c r="I60" s="19">
        <v>21349.333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  <row r="61">
      <c r="A61" s="3"/>
      <c r="B61" s="3"/>
      <c r="C61" s="3"/>
      <c r="D61" s="11" t="s">
        <v>29</v>
      </c>
      <c r="E61" s="11" t="s">
        <v>30</v>
      </c>
      <c r="F61" s="11" t="s">
        <v>31</v>
      </c>
      <c r="G61" s="11" t="s">
        <v>32</v>
      </c>
      <c r="H61" s="11" t="s">
        <v>33</v>
      </c>
      <c r="I61" s="11" t="s">
        <v>34</v>
      </c>
      <c r="J61" s="11" t="s">
        <v>36</v>
      </c>
      <c r="K61" s="11" t="s">
        <v>37</v>
      </c>
      <c r="L61" s="11" t="s">
        <v>35</v>
      </c>
      <c r="M61" s="11" t="s">
        <v>39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</row>
    <row r="62">
      <c r="A62" s="3"/>
      <c r="B62" s="3"/>
      <c r="C62" s="3"/>
      <c r="D62" s="13">
        <v>33.0</v>
      </c>
      <c r="E62" s="13">
        <v>52.0</v>
      </c>
      <c r="F62" s="13">
        <v>4.0</v>
      </c>
      <c r="G62" s="13">
        <v>248.0</v>
      </c>
      <c r="H62" s="13">
        <v>23.0</v>
      </c>
      <c r="I62" s="13">
        <v>193.333</v>
      </c>
      <c r="J62" s="13">
        <v>32.0</v>
      </c>
      <c r="K62" s="13">
        <v>32.0</v>
      </c>
      <c r="L62" s="13">
        <v>99.0</v>
      </c>
      <c r="M62" s="13">
        <v>0.87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 t="s">
        <v>96</v>
      </c>
      <c r="AH63" s="3" t="s">
        <v>96</v>
      </c>
      <c r="AI63" s="3" t="s">
        <v>96</v>
      </c>
      <c r="AJ63" s="6" t="s">
        <v>96</v>
      </c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13">
        <f>AVERAGE(AG2, AG9, AG23, AG30, AG37, AG44, AG51, AG58 )</f>
        <v>0.4031200079</v>
      </c>
      <c r="AH64" s="13">
        <v>0.2426855266</v>
      </c>
      <c r="AI64" s="13">
        <v>0.1668092906</v>
      </c>
      <c r="AJ64" s="7">
        <v>0.174</v>
      </c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</row>
  </sheetData>
  <drawing r:id="rId1"/>
</worksheet>
</file>